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470" windowWidth="13830" windowHeight="5895" tabRatio="440" activeTab="0"/>
  </bookViews>
  <sheets>
    <sheet name="Experiment" sheetId="1" r:id="rId1"/>
    <sheet name="CI Plot" sheetId="2" r:id="rId2"/>
    <sheet name="Bayes CI" sheetId="3" r:id="rId3"/>
  </sheets>
  <definedNames>
    <definedName name="_n">'CI Plot'!$C$5</definedName>
    <definedName name="a">'Bayes CI'!$C$4</definedName>
    <definedName name="Alpha" localSheetId="1">'CI Plot'!$C$4</definedName>
    <definedName name="Alpha">'Bayes CI'!$C$7</definedName>
    <definedName name="b">'Bayes CI'!$C$3</definedName>
    <definedName name="BayesLCL">'Bayes CI'!$C$16</definedName>
    <definedName name="BayesUCL">'Bayes CI'!$C$17</definedName>
    <definedName name="BetaLCL">'Bayes CI'!$C$8</definedName>
    <definedName name="BetaUCL">'Bayes CI'!$C$9</definedName>
    <definedName name="F1Alpha">'Bayes CI'!$C$11</definedName>
    <definedName name="FAlpha">'Bayes CI'!$C$10</definedName>
    <definedName name="k" localSheetId="2">'Bayes CI'!$C$6</definedName>
    <definedName name="k">'Experiment'!$B$2</definedName>
    <definedName name="LCLF">'Bayes CI'!$C$12</definedName>
    <definedName name="n" localSheetId="2">'Bayes CI'!$C$5</definedName>
    <definedName name="n">'Experiment'!$B$1</definedName>
    <definedName name="NSides">'CI Plot'!#REF!</definedName>
    <definedName name="P">'Experiment'!$B$4</definedName>
    <definedName name="solver_adj" localSheetId="0" hidden="1">'Experiment'!$B$4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'Experiment'!$B$6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0.05</definedName>
    <definedName name="UCLF">'Bayes CI'!$C$13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b/>
            <sz val="8"/>
            <rFont val="Tahoma"/>
            <family val="0"/>
          </rPr>
          <t>1.)</t>
        </r>
      </text>
    </comment>
    <comment ref="C4" authorId="0">
      <text>
        <r>
          <rPr>
            <b/>
            <sz val="8"/>
            <rFont val="Tahoma"/>
            <family val="0"/>
          </rPr>
          <t>4.)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stimmt</t>
        </r>
      </text>
    </comment>
    <comment ref="C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stimmt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A1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bis hier her verifiziert und ok.</t>
        </r>
      </text>
    </comment>
  </commentList>
</comments>
</file>

<file path=xl/sharedStrings.xml><?xml version="1.0" encoding="utf-8"?>
<sst xmlns="http://schemas.openxmlformats.org/spreadsheetml/2006/main" count="63" uniqueCount="57">
  <si>
    <t>N</t>
  </si>
  <si>
    <t>K</t>
  </si>
  <si>
    <t>p</t>
  </si>
  <si>
    <t>LCL</t>
  </si>
  <si>
    <t>UCL</t>
  </si>
  <si>
    <t>P</t>
  </si>
  <si>
    <t>b</t>
  </si>
  <si>
    <t>k</t>
  </si>
  <si>
    <t>n</t>
  </si>
  <si>
    <t>Alpha</t>
  </si>
  <si>
    <t>FAlpha</t>
  </si>
  <si>
    <t>F1Alpha</t>
  </si>
  <si>
    <t>LCLF</t>
  </si>
  <si>
    <t>UCLF</t>
  </si>
  <si>
    <t>Binomial Check of 1-Alpha</t>
  </si>
  <si>
    <t>Binomial Check of Alpha</t>
  </si>
  <si>
    <t>Variable</t>
  </si>
  <si>
    <t>x</t>
  </si>
  <si>
    <t>F(1-alpha/2;2n-2x+2,2x)</t>
  </si>
  <si>
    <t>F(1-alpha/2;2x+2,2n-2x)</t>
  </si>
  <si>
    <t>Anzahl Versuche</t>
  </si>
  <si>
    <t>Anzahl Erfolge</t>
  </si>
  <si>
    <t>Konsistenzcheck</t>
  </si>
  <si>
    <t>So vorgehen:</t>
  </si>
  <si>
    <t>unten</t>
  </si>
  <si>
    <t>Anzahl Treffer</t>
  </si>
  <si>
    <t>Wert</t>
  </si>
  <si>
    <t>Vertrauensintervall</t>
  </si>
  <si>
    <t>Alpha-Quantil der F-Verteilung</t>
  </si>
  <si>
    <t>(1-Alpha)-Quantil der F-Vert.</t>
  </si>
  <si>
    <t>Untere Vertrauensgrenze</t>
  </si>
  <si>
    <t>Obere Vertrauensgrenze</t>
  </si>
  <si>
    <t>Beschreibung</t>
  </si>
  <si>
    <t>Bayes untere Vertrauensgrenze</t>
  </si>
  <si>
    <t>Bayes obere Vertrauensgrenze</t>
  </si>
  <si>
    <r>
      <t xml:space="preserve">Gefundene </t>
    </r>
    <r>
      <rPr>
        <i/>
        <sz val="12"/>
        <rFont val="Times New Roman"/>
        <family val="1"/>
      </rPr>
      <t>Anzahl</t>
    </r>
    <r>
      <rPr>
        <sz val="12"/>
        <rFont val="Times New Roman"/>
        <family val="0"/>
      </rPr>
      <t xml:space="preserve"> Merkmalsträger</t>
    </r>
  </si>
  <si>
    <r>
      <t xml:space="preserve">Gefundener </t>
    </r>
    <r>
      <rPr>
        <i/>
        <sz val="12"/>
        <rFont val="Times New Roman"/>
        <family val="1"/>
      </rPr>
      <t>Anteil</t>
    </r>
    <r>
      <rPr>
        <sz val="12"/>
        <rFont val="Times New Roman"/>
        <family val="0"/>
      </rPr>
      <t xml:space="preserve"> Merkmalsträger</t>
    </r>
  </si>
  <si>
    <t>Zwischenergebnis für LCL</t>
  </si>
  <si>
    <t>Zwischenergebnis für UCL</t>
  </si>
  <si>
    <t>Stichprobengrösse</t>
  </si>
  <si>
    <t>Irrtumswahrscheinlichkeit</t>
  </si>
  <si>
    <t>Anzahl Versuche vorher</t>
  </si>
  <si>
    <t xml:space="preserve">a </t>
  </si>
  <si>
    <t>Anzahl Treffer vorher</t>
  </si>
  <si>
    <t>BetaInv(Alpha;n-k+1,k)</t>
  </si>
  <si>
    <t>BetaInv(1-Alpha;n-k,k+1)</t>
  </si>
  <si>
    <t>LCL vorher</t>
  </si>
  <si>
    <t>UCL vorher</t>
  </si>
  <si>
    <t>Bayes LCL (vorher + nachher)</t>
  </si>
  <si>
    <t>Bayes UCL (vorher + nachher)</t>
  </si>
  <si>
    <t>Binomial Konfidenz Intervall für Mittelwert bei Vorliegen von früher gewonnener Information</t>
  </si>
  <si>
    <t>1.) N und K eingeben</t>
  </si>
  <si>
    <t>Vertrauensintervall alpha (gedanklich) festlegen (z.B. 10%)</t>
  </si>
  <si>
    <t>2.) Suche alpha/2 auf der Y-Achse (=5%)</t>
  </si>
  <si>
    <t>3.) Beide zugehörigen p-Werte auf der X-Achse ablesen</t>
  </si>
  <si>
    <t>4.) Die beiden p-Werte oben in die blau unterlegten Felder eintragen und feinabstimmen, sodass die orange unterlegten Felder jeweils alpha/2 anzeigen.</t>
  </si>
  <si>
    <t>Vertrauensbereiche für den Anteil Merkmalsträger bei Binomialverteilung</t>
  </si>
</sst>
</file>

<file path=xl/styles.xml><?xml version="1.0" encoding="utf-8"?>
<styleSheet xmlns="http://schemas.openxmlformats.org/spreadsheetml/2006/main">
  <numFmts count="3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%"/>
    <numFmt numFmtId="174" formatCode="0.000%"/>
    <numFmt numFmtId="175" formatCode="0.0"/>
    <numFmt numFmtId="176" formatCode="0.000"/>
    <numFmt numFmtId="177" formatCode="#,##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"/>
    <numFmt numFmtId="182" formatCode="0.00000"/>
    <numFmt numFmtId="183" formatCode="0.000000"/>
    <numFmt numFmtId="184" formatCode="0.00000%"/>
    <numFmt numFmtId="185" formatCode="0.000000%"/>
    <numFmt numFmtId="186" formatCode="0.0000000%"/>
  </numFmts>
  <fonts count="35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1.25"/>
      <name val="Arial"/>
      <family val="2"/>
    </font>
    <font>
      <sz val="8"/>
      <name val="Arial"/>
      <family val="0"/>
    </font>
    <font>
      <sz val="9.25"/>
      <name val="Arial"/>
      <family val="0"/>
    </font>
    <font>
      <i/>
      <sz val="10"/>
      <name val="Arial"/>
      <family val="2"/>
    </font>
    <font>
      <sz val="10"/>
      <name val="MS Sans Serif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0"/>
    </font>
    <font>
      <b/>
      <sz val="8"/>
      <name val="Arial"/>
      <family val="0"/>
    </font>
    <font>
      <sz val="12"/>
      <color indexed="23"/>
      <name val="Times New Roman"/>
      <family val="1"/>
    </font>
    <font>
      <b/>
      <sz val="10"/>
      <name val="Arial"/>
      <family val="0"/>
    </font>
    <font>
      <sz val="12"/>
      <name val="Arial"/>
      <family val="2"/>
    </font>
    <font>
      <sz val="9"/>
      <name val="Times New Roman"/>
      <family val="1"/>
    </font>
    <font>
      <b/>
      <i/>
      <u val="single"/>
      <sz val="10"/>
      <name val="Arial"/>
      <family val="2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  <font>
      <b/>
      <sz val="12"/>
      <color indexed="18"/>
      <name val="Times New Roman"/>
      <family val="0"/>
    </font>
    <font>
      <sz val="10"/>
      <color indexed="18"/>
      <name val="Times New Roman"/>
      <family val="0"/>
    </font>
    <font>
      <sz val="10"/>
      <color indexed="16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sz val="8.75"/>
      <name val="Arial"/>
      <family val="2"/>
    </font>
    <font>
      <b/>
      <sz val="10"/>
      <color indexed="10"/>
      <name val="Arial"/>
      <family val="2"/>
    </font>
    <font>
      <b/>
      <sz val="9.25"/>
      <name val="Arial"/>
      <family val="0"/>
    </font>
    <font>
      <b/>
      <sz val="10"/>
      <color indexed="16"/>
      <name val="Times New Roman"/>
      <family val="1"/>
    </font>
    <font>
      <b/>
      <i/>
      <sz val="12"/>
      <color indexed="13"/>
      <name val="Times New Roman"/>
      <family val="1"/>
    </font>
    <font>
      <i/>
      <sz val="12"/>
      <color indexed="13"/>
      <name val="Times New Roman"/>
      <family val="1"/>
    </font>
    <font>
      <b/>
      <i/>
      <sz val="14"/>
      <color indexed="13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72" fontId="0" fillId="0" borderId="0" xfId="19" applyNumberForma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right"/>
    </xf>
    <xf numFmtId="9" fontId="0" fillId="2" borderId="1" xfId="0" applyNumberFormat="1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6" fillId="0" borderId="0" xfId="0" applyFont="1" applyAlignment="1">
      <alignment/>
    </xf>
    <xf numFmtId="0" fontId="9" fillId="0" borderId="0" xfId="17" applyFont="1">
      <alignment/>
      <protection/>
    </xf>
    <xf numFmtId="0" fontId="8" fillId="0" borderId="0" xfId="17" applyFont="1" applyAlignment="1">
      <alignment vertical="top"/>
      <protection/>
    </xf>
    <xf numFmtId="0" fontId="9" fillId="0" borderId="0" xfId="17" applyFont="1" applyAlignment="1">
      <alignment vertical="top"/>
      <protection/>
    </xf>
    <xf numFmtId="0" fontId="17" fillId="0" borderId="0" xfId="17" applyFont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4" xfId="17" applyFont="1" applyBorder="1" applyAlignment="1">
      <alignment vertical="top"/>
      <protection/>
    </xf>
    <xf numFmtId="0" fontId="20" fillId="0" borderId="0" xfId="17" applyFont="1">
      <alignment/>
      <protection/>
    </xf>
    <xf numFmtId="0" fontId="8" fillId="0" borderId="0" xfId="18" applyFont="1">
      <alignment/>
      <protection/>
    </xf>
    <xf numFmtId="0" fontId="21" fillId="0" borderId="0" xfId="18" applyFont="1">
      <alignment/>
      <protection/>
    </xf>
    <xf numFmtId="0" fontId="22" fillId="0" borderId="0" xfId="18" applyFont="1">
      <alignment/>
      <protection/>
    </xf>
    <xf numFmtId="0" fontId="8" fillId="0" borderId="0" xfId="18" applyFont="1" applyAlignment="1">
      <alignment horizontal="right"/>
      <protection/>
    </xf>
    <xf numFmtId="0" fontId="9" fillId="0" borderId="0" xfId="18" applyFont="1">
      <alignment/>
      <protection/>
    </xf>
    <xf numFmtId="0" fontId="24" fillId="0" borderId="0" xfId="18" applyFont="1">
      <alignment/>
      <protection/>
    </xf>
    <xf numFmtId="176" fontId="9" fillId="0" borderId="0" xfId="18" applyNumberFormat="1" applyFont="1">
      <alignment/>
      <protection/>
    </xf>
    <xf numFmtId="9" fontId="9" fillId="0" borderId="0" xfId="18" applyNumberFormat="1" applyFont="1">
      <alignment/>
      <protection/>
    </xf>
    <xf numFmtId="0" fontId="12" fillId="0" borderId="0" xfId="18" applyFont="1">
      <alignment/>
      <protection/>
    </xf>
    <xf numFmtId="173" fontId="1" fillId="0" borderId="0" xfId="19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center"/>
    </xf>
    <xf numFmtId="10" fontId="2" fillId="3" borderId="0" xfId="19" applyNumberFormat="1" applyFont="1" applyFill="1" applyAlignment="1">
      <alignment/>
    </xf>
    <xf numFmtId="173" fontId="29" fillId="4" borderId="0" xfId="19" applyNumberFormat="1" applyFont="1" applyFill="1" applyAlignment="1">
      <alignment/>
    </xf>
    <xf numFmtId="0" fontId="8" fillId="0" borderId="4" xfId="17" applyFont="1" applyBorder="1" applyAlignment="1">
      <alignment horizontal="center" vertical="top"/>
      <protection/>
    </xf>
    <xf numFmtId="0" fontId="2" fillId="0" borderId="0" xfId="0" applyFont="1" applyAlignment="1">
      <alignment horizontal="center"/>
    </xf>
    <xf numFmtId="0" fontId="15" fillId="0" borderId="0" xfId="0" applyFont="1" applyAlignment="1">
      <alignment/>
    </xf>
    <xf numFmtId="0" fontId="9" fillId="0" borderId="5" xfId="18" applyFont="1" applyBorder="1">
      <alignment/>
      <protection/>
    </xf>
    <xf numFmtId="0" fontId="9" fillId="0" borderId="6" xfId="18" applyFont="1" applyBorder="1">
      <alignment/>
      <protection/>
    </xf>
    <xf numFmtId="10" fontId="23" fillId="0" borderId="2" xfId="18" applyNumberFormat="1" applyFont="1" applyBorder="1" applyAlignment="1">
      <alignment horizontal="center"/>
      <protection/>
    </xf>
    <xf numFmtId="0" fontId="9" fillId="0" borderId="7" xfId="18" applyFont="1" applyBorder="1">
      <alignment/>
      <protection/>
    </xf>
    <xf numFmtId="0" fontId="9" fillId="0" borderId="0" xfId="18" applyFont="1" applyBorder="1">
      <alignment/>
      <protection/>
    </xf>
    <xf numFmtId="0" fontId="23" fillId="0" borderId="3" xfId="18" applyFont="1" applyBorder="1" applyAlignment="1">
      <alignment horizontal="center"/>
      <protection/>
    </xf>
    <xf numFmtId="0" fontId="9" fillId="0" borderId="8" xfId="18" applyFont="1" applyBorder="1">
      <alignment/>
      <protection/>
    </xf>
    <xf numFmtId="0" fontId="9" fillId="0" borderId="9" xfId="18" applyFont="1" applyFill="1" applyBorder="1">
      <alignment/>
      <protection/>
    </xf>
    <xf numFmtId="0" fontId="24" fillId="0" borderId="9" xfId="18" applyFont="1" applyBorder="1">
      <alignment/>
      <protection/>
    </xf>
    <xf numFmtId="0" fontId="24" fillId="0" borderId="10" xfId="18" applyFont="1" applyBorder="1">
      <alignment/>
      <protection/>
    </xf>
    <xf numFmtId="176" fontId="9" fillId="5" borderId="7" xfId="18" applyNumberFormat="1" applyFont="1" applyFill="1" applyBorder="1">
      <alignment/>
      <protection/>
    </xf>
    <xf numFmtId="176" fontId="9" fillId="5" borderId="0" xfId="18" applyNumberFormat="1" applyFont="1" applyFill="1" applyBorder="1">
      <alignment/>
      <protection/>
    </xf>
    <xf numFmtId="176" fontId="25" fillId="5" borderId="0" xfId="18" applyNumberFormat="1" applyFont="1" applyFill="1" applyBorder="1">
      <alignment/>
      <protection/>
    </xf>
    <xf numFmtId="176" fontId="25" fillId="5" borderId="3" xfId="18" applyNumberFormat="1" applyFont="1" applyFill="1" applyBorder="1">
      <alignment/>
      <protection/>
    </xf>
    <xf numFmtId="0" fontId="9" fillId="5" borderId="7" xfId="18" applyFont="1" applyFill="1" applyBorder="1">
      <alignment/>
      <protection/>
    </xf>
    <xf numFmtId="0" fontId="9" fillId="6" borderId="5" xfId="18" applyFont="1" applyFill="1" applyBorder="1">
      <alignment/>
      <protection/>
    </xf>
    <xf numFmtId="0" fontId="9" fillId="6" borderId="6" xfId="18" applyFont="1" applyFill="1" applyBorder="1">
      <alignment/>
      <protection/>
    </xf>
    <xf numFmtId="9" fontId="31" fillId="6" borderId="6" xfId="18" applyNumberFormat="1" applyFont="1" applyFill="1" applyBorder="1">
      <alignment/>
      <protection/>
    </xf>
    <xf numFmtId="9" fontId="31" fillId="6" borderId="2" xfId="18" applyNumberFormat="1" applyFont="1" applyFill="1" applyBorder="1">
      <alignment/>
      <protection/>
    </xf>
    <xf numFmtId="9" fontId="9" fillId="6" borderId="7" xfId="18" applyNumberFormat="1" applyFont="1" applyFill="1" applyBorder="1">
      <alignment/>
      <protection/>
    </xf>
    <xf numFmtId="9" fontId="9" fillId="6" borderId="0" xfId="18" applyNumberFormat="1" applyFont="1" applyFill="1" applyBorder="1">
      <alignment/>
      <protection/>
    </xf>
    <xf numFmtId="10" fontId="31" fillId="6" borderId="0" xfId="18" applyNumberFormat="1" applyFont="1" applyFill="1" applyBorder="1">
      <alignment/>
      <protection/>
    </xf>
    <xf numFmtId="10" fontId="31" fillId="6" borderId="3" xfId="18" applyNumberFormat="1" applyFont="1" applyFill="1" applyBorder="1">
      <alignment/>
      <protection/>
    </xf>
    <xf numFmtId="9" fontId="9" fillId="6" borderId="11" xfId="18" applyNumberFormat="1" applyFont="1" applyFill="1" applyBorder="1">
      <alignment/>
      <protection/>
    </xf>
    <xf numFmtId="9" fontId="9" fillId="6" borderId="1" xfId="18" applyNumberFormat="1" applyFont="1" applyFill="1" applyBorder="1">
      <alignment/>
      <protection/>
    </xf>
    <xf numFmtId="10" fontId="31" fillId="6" borderId="1" xfId="18" applyNumberFormat="1" applyFont="1" applyFill="1" applyBorder="1">
      <alignment/>
      <protection/>
    </xf>
    <xf numFmtId="10" fontId="31" fillId="6" borderId="12" xfId="18" applyNumberFormat="1" applyFont="1" applyFill="1" applyBorder="1">
      <alignment/>
      <protection/>
    </xf>
    <xf numFmtId="0" fontId="9" fillId="0" borderId="0" xfId="17" applyFont="1" applyBorder="1" applyAlignment="1">
      <alignment vertical="top"/>
      <protection/>
    </xf>
    <xf numFmtId="0" fontId="9" fillId="0" borderId="0" xfId="17" applyFont="1" applyBorder="1">
      <alignment/>
      <protection/>
    </xf>
    <xf numFmtId="175" fontId="9" fillId="0" borderId="0" xfId="17" applyNumberFormat="1" applyFont="1" applyBorder="1">
      <alignment/>
      <protection/>
    </xf>
    <xf numFmtId="0" fontId="8" fillId="0" borderId="0" xfId="17" applyFont="1" applyBorder="1" applyAlignment="1">
      <alignment vertical="top"/>
      <protection/>
    </xf>
    <xf numFmtId="0" fontId="8" fillId="0" borderId="0" xfId="17" applyFont="1" applyBorder="1">
      <alignment/>
      <protection/>
    </xf>
    <xf numFmtId="1" fontId="19" fillId="0" borderId="0" xfId="17" applyNumberFormat="1" applyFont="1" applyBorder="1">
      <alignment/>
      <protection/>
    </xf>
    <xf numFmtId="0" fontId="19" fillId="0" borderId="0" xfId="17" applyFont="1" applyBorder="1">
      <alignment/>
      <protection/>
    </xf>
    <xf numFmtId="10" fontId="9" fillId="0" borderId="0" xfId="19" applyNumberFormat="1" applyFont="1" applyBorder="1" applyAlignment="1">
      <alignment/>
    </xf>
    <xf numFmtId="10" fontId="10" fillId="0" borderId="0" xfId="19" applyNumberFormat="1" applyFont="1" applyBorder="1" applyAlignment="1">
      <alignment/>
    </xf>
    <xf numFmtId="10" fontId="11" fillId="0" borderId="0" xfId="17" applyNumberFormat="1" applyFont="1" applyBorder="1">
      <alignment/>
      <protection/>
    </xf>
    <xf numFmtId="10" fontId="11" fillId="0" borderId="0" xfId="19" applyNumberFormat="1" applyFont="1" applyBorder="1" applyAlignment="1">
      <alignment/>
    </xf>
    <xf numFmtId="181" fontId="14" fillId="0" borderId="0" xfId="17" applyNumberFormat="1" applyFont="1" applyBorder="1">
      <alignment/>
      <protection/>
    </xf>
    <xf numFmtId="173" fontId="8" fillId="0" borderId="0" xfId="17" applyNumberFormat="1" applyFont="1" applyBorder="1">
      <alignment/>
      <protection/>
    </xf>
    <xf numFmtId="10" fontId="8" fillId="0" borderId="0" xfId="17" applyNumberFormat="1" applyFont="1" applyBorder="1">
      <alignment/>
      <protection/>
    </xf>
    <xf numFmtId="184" fontId="8" fillId="0" borderId="0" xfId="17" applyNumberFormat="1" applyFont="1" applyBorder="1">
      <alignment/>
      <protection/>
    </xf>
    <xf numFmtId="10" fontId="14" fillId="0" borderId="0" xfId="19" applyNumberFormat="1" applyFont="1" applyBorder="1" applyAlignment="1">
      <alignment/>
    </xf>
    <xf numFmtId="0" fontId="8" fillId="0" borderId="0" xfId="17" applyFont="1" applyBorder="1">
      <alignment/>
      <protection/>
    </xf>
    <xf numFmtId="1" fontId="10" fillId="0" borderId="0" xfId="17" applyNumberFormat="1" applyFont="1" applyBorder="1">
      <alignment/>
      <protection/>
    </xf>
    <xf numFmtId="10" fontId="8" fillId="0" borderId="0" xfId="17" applyNumberFormat="1" applyFont="1" applyBorder="1">
      <alignment/>
      <protection/>
    </xf>
    <xf numFmtId="10" fontId="8" fillId="0" borderId="0" xfId="19" applyNumberFormat="1" applyFont="1" applyBorder="1" applyAlignment="1">
      <alignment/>
    </xf>
    <xf numFmtId="0" fontId="32" fillId="7" borderId="0" xfId="17" applyFont="1" applyFill="1" applyAlignment="1">
      <alignment horizontal="centerContinuous" vertical="top"/>
      <protection/>
    </xf>
    <xf numFmtId="0" fontId="33" fillId="7" borderId="0" xfId="17" applyFont="1" applyFill="1">
      <alignment/>
      <protection/>
    </xf>
    <xf numFmtId="0" fontId="20" fillId="7" borderId="0" xfId="17" applyFont="1" applyFill="1">
      <alignment/>
      <protection/>
    </xf>
    <xf numFmtId="0" fontId="34" fillId="7" borderId="0" xfId="17" applyFont="1" applyFill="1" applyAlignment="1">
      <alignment horizontal="left" vertical="top"/>
      <protection/>
    </xf>
  </cellXfs>
  <cellStyles count="8">
    <cellStyle name="Normal" xfId="0"/>
    <cellStyle name="Comma" xfId="15"/>
    <cellStyle name="Comma [0]" xfId="16"/>
    <cellStyle name="Normal_BINOMCL" xfId="17"/>
    <cellStyle name="Normal_CI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825"/>
          <c:w val="0.99"/>
          <c:h val="0.8815"/>
        </c:manualLayout>
      </c:layout>
      <c:scatterChart>
        <c:scatterStyle val="smooth"/>
        <c:varyColors val="0"/>
        <c:ser>
          <c:idx val="0"/>
          <c:order val="0"/>
          <c:tx>
            <c:strRef>
              <c:f>Experiment!$D$5</c:f>
              <c:strCache>
                <c:ptCount val="1"/>
                <c:pt idx="0">
                  <c:v>Wahrsch.(x&gt;=10)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Experiment!$E$4:$DA$4</c:f>
              <c:numCache/>
            </c:numRef>
          </c:xVal>
          <c:yVal>
            <c:numRef>
              <c:f>Experiment!$E$5:$DA$5</c:f>
              <c:numCache/>
            </c:numRef>
          </c:yVal>
          <c:smooth val="1"/>
        </c:ser>
        <c:ser>
          <c:idx val="1"/>
          <c:order val="1"/>
          <c:tx>
            <c:strRef>
              <c:f>Experiment!$D$6</c:f>
              <c:strCache>
                <c:ptCount val="1"/>
                <c:pt idx="0">
                  <c:v>Wahrsch.(x&lt;=10)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Experiment!$E$4:$DA$4</c:f>
              <c:numCache/>
            </c:numRef>
          </c:xVal>
          <c:yVal>
            <c:numRef>
              <c:f>Experiment!$E$6:$DA$6</c:f>
              <c:numCache/>
            </c:numRef>
          </c:yVal>
          <c:smooth val="1"/>
        </c:ser>
        <c:axId val="41582092"/>
        <c:axId val="38694509"/>
      </c:scatterChart>
      <c:valAx>
        <c:axId val="4158209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"wahrer" Ausschussanteil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94509"/>
        <c:crosses val="autoZero"/>
        <c:crossBetween val="midCat"/>
        <c:dispUnits/>
        <c:majorUnit val="0.1"/>
      </c:valAx>
      <c:valAx>
        <c:axId val="3869450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1582092"/>
        <c:crosses val="autoZero"/>
        <c:crossBetween val="midCat"/>
        <c:dispUnits/>
        <c:majorUnit val="0.1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25"/>
          <c:y val="0.07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Vertrauensbereiche für den Anteil Merkmalsträger bei Binomialverteilung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85"/>
          <c:w val="0.9525"/>
          <c:h val="0.88475"/>
        </c:manualLayout>
      </c:layout>
      <c:lineChart>
        <c:grouping val="standard"/>
        <c:varyColors val="0"/>
        <c:ser>
          <c:idx val="0"/>
          <c:order val="0"/>
          <c:tx>
            <c:v>LCL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 Plot'!$C$7:$BA$7</c:f>
              <c:numCache/>
            </c:numRef>
          </c:cat>
          <c:val>
            <c:numRef>
              <c:f>'CI Plot'!$C$10:$BA$10</c:f>
              <c:numCache/>
            </c:numRef>
          </c:val>
          <c:smooth val="0"/>
        </c:ser>
        <c:ser>
          <c:idx val="1"/>
          <c:order val="1"/>
          <c:tx>
            <c:v>UCL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 Plot'!$C$6:$BA$6</c:f>
              <c:numCache/>
            </c:numRef>
          </c:cat>
          <c:val>
            <c:numRef>
              <c:f>'CI Plot'!$C$11:$BA$11</c:f>
              <c:numCache/>
            </c:numRef>
          </c:val>
          <c:smooth val="0"/>
        </c:ser>
        <c:marker val="1"/>
        <c:axId val="12706262"/>
        <c:axId val="47247495"/>
      </c:lineChart>
      <c:catAx>
        <c:axId val="12706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Gefundener Anteil Merkmalsträger in der Stichprobe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crossAx val="47247495"/>
        <c:crosses val="autoZero"/>
        <c:auto val="0"/>
        <c:lblOffset val="100"/>
        <c:tickLblSkip val="10"/>
        <c:tickMarkSkip val="5"/>
        <c:noMultiLvlLbl val="0"/>
      </c:catAx>
      <c:valAx>
        <c:axId val="4724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Obere und untere Vertrauensgrenze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crossAx val="12706262"/>
        <c:crossesAt val="1"/>
        <c:crossBetween val="midCat"/>
        <c:dispUnits/>
        <c:minorUnit val="0.05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Bayes Limits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2025"/>
          <c:w val="0.923"/>
          <c:h val="0.8265"/>
        </c:manualLayout>
      </c:layout>
      <c:scatterChart>
        <c:scatterStyle val="smooth"/>
        <c:varyColors val="0"/>
        <c:ser>
          <c:idx val="0"/>
          <c:order val="0"/>
          <c:tx>
            <c:strRef>
              <c:f>'Bayes CI'!$B$16</c:f>
              <c:strCache>
                <c:ptCount val="1"/>
                <c:pt idx="0">
                  <c:v>Bayes LCL (vorher + nachher)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'Bayes CI'!$C$16:$O$16</c:f>
              <c:numCache/>
            </c:numRef>
          </c:xVal>
          <c:yVal>
            <c:numRef>
              <c:f>'Bayes CI'!$C$7:$O$7</c:f>
              <c:numCache/>
            </c:numRef>
          </c:yVal>
          <c:smooth val="1"/>
        </c:ser>
        <c:ser>
          <c:idx val="1"/>
          <c:order val="1"/>
          <c:tx>
            <c:strRef>
              <c:f>'Bayes CI'!$B$17</c:f>
              <c:strCache>
                <c:ptCount val="1"/>
                <c:pt idx="0">
                  <c:v>Bayes UCL (vorher + nachher)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'Bayes CI'!$C$17:$O$17</c:f>
              <c:numCache/>
            </c:numRef>
          </c:xVal>
          <c:yVal>
            <c:numRef>
              <c:f>'Bayes CI'!$C$7:$O$7</c:f>
              <c:numCache/>
            </c:numRef>
          </c:yVal>
          <c:smooth val="1"/>
        </c:ser>
        <c:ser>
          <c:idx val="2"/>
          <c:order val="2"/>
          <c:tx>
            <c:strRef>
              <c:f>'Bayes CI'!$B$8</c:f>
              <c:strCache>
                <c:ptCount val="1"/>
                <c:pt idx="0">
                  <c:v>LCL vorher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'Bayes CI'!$C$8:$O$8</c:f>
              <c:numCache/>
            </c:numRef>
          </c:xVal>
          <c:yVal>
            <c:numRef>
              <c:f>'Bayes CI'!$C$7:$O$7</c:f>
              <c:numCache/>
            </c:numRef>
          </c:yVal>
          <c:smooth val="1"/>
        </c:ser>
        <c:ser>
          <c:idx val="3"/>
          <c:order val="3"/>
          <c:tx>
            <c:strRef>
              <c:f>'Bayes CI'!$B$9</c:f>
              <c:strCache>
                <c:ptCount val="1"/>
                <c:pt idx="0">
                  <c:v>UCL vorher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'Bayes CI'!$C$9:$O$9</c:f>
              <c:numCache/>
            </c:numRef>
          </c:xVal>
          <c:yVal>
            <c:numRef>
              <c:f>'Bayes CI'!$C$7:$O$7</c:f>
              <c:numCache/>
            </c:numRef>
          </c:yVal>
          <c:smooth val="1"/>
        </c:ser>
        <c:axId val="22574272"/>
        <c:axId val="1841857"/>
      </c:scatterChart>
      <c:valAx>
        <c:axId val="22574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Obere und untere Vertrauensgrenze des relativen Trefferanteils 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1841857"/>
        <c:crosses val="autoZero"/>
        <c:crossBetween val="midCat"/>
        <c:dispUnits/>
      </c:valAx>
      <c:valAx>
        <c:axId val="184185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Irrtumswahrscheinlichkeit alpha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257427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5"/>
          <c:y val="0"/>
          <c:w val="0.372"/>
          <c:h val="0.27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142875</xdr:rowOff>
    </xdr:from>
    <xdr:to>
      <xdr:col>15</xdr:col>
      <xdr:colOff>85725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28575" y="1343025"/>
        <a:ext cx="95440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904875</xdr:colOff>
      <xdr:row>24</xdr:row>
      <xdr:rowOff>104775</xdr:rowOff>
    </xdr:from>
    <xdr:to>
      <xdr:col>2</xdr:col>
      <xdr:colOff>314325</xdr:colOff>
      <xdr:row>24</xdr:row>
      <xdr:rowOff>104775</xdr:rowOff>
    </xdr:to>
    <xdr:sp>
      <xdr:nvSpPr>
        <xdr:cNvPr id="2" name="Line 3"/>
        <xdr:cNvSpPr>
          <a:spLocks/>
        </xdr:cNvSpPr>
      </xdr:nvSpPr>
      <xdr:spPr>
        <a:xfrm>
          <a:off x="904875" y="4057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23</xdr:row>
      <xdr:rowOff>38100</xdr:rowOff>
    </xdr:from>
    <xdr:to>
      <xdr:col>3</xdr:col>
      <xdr:colOff>752475</xdr:colOff>
      <xdr:row>24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809875" y="3829050"/>
          <a:ext cx="1028700" cy="2095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2.) und 3.)  [5%]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47625</xdr:rowOff>
    </xdr:from>
    <xdr:to>
      <xdr:col>42</xdr:col>
      <xdr:colOff>38100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104775" y="2181225"/>
        <a:ext cx="8905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190500</xdr:rowOff>
    </xdr:from>
    <xdr:to>
      <xdr:col>6</xdr:col>
      <xdr:colOff>323850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47625" y="2409825"/>
        <a:ext cx="59245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7"/>
  <sheetViews>
    <sheetView showGridLines="0" tabSelected="1" workbookViewId="0" topLeftCell="A1">
      <selection activeCell="D32" sqref="D32"/>
    </sheetView>
  </sheetViews>
  <sheetFormatPr defaultColWidth="11.421875" defaultRowHeight="12.75"/>
  <cols>
    <col min="1" max="1" width="23.421875" style="0" customWidth="1"/>
    <col min="4" max="4" width="15.8515625" style="0" customWidth="1"/>
    <col min="5" max="105" width="7.28125" style="0" customWidth="1"/>
    <col min="106" max="16384" width="9.140625" style="0" customWidth="1"/>
  </cols>
  <sheetData>
    <row r="1" spans="1:3" ht="12.75">
      <c r="A1" s="33" t="s">
        <v>0</v>
      </c>
      <c r="B1" s="33">
        <v>100</v>
      </c>
      <c r="C1" s="34" t="s">
        <v>20</v>
      </c>
    </row>
    <row r="2" spans="1:3" ht="12.75">
      <c r="A2" s="33" t="s">
        <v>1</v>
      </c>
      <c r="B2" s="33">
        <v>10</v>
      </c>
      <c r="C2" s="34" t="s">
        <v>21</v>
      </c>
    </row>
    <row r="3" spans="1:4" ht="12" customHeight="1">
      <c r="A3" s="26"/>
      <c r="B3" s="2" t="s">
        <v>24</v>
      </c>
      <c r="C3" s="2"/>
      <c r="D3" s="7"/>
    </row>
    <row r="4" spans="1:105" ht="18.75" customHeight="1">
      <c r="A4" s="27" t="s">
        <v>2</v>
      </c>
      <c r="B4" s="30">
        <v>0.055267</v>
      </c>
      <c r="C4" s="30">
        <v>0.1637177</v>
      </c>
      <c r="D4" s="3" t="s">
        <v>5</v>
      </c>
      <c r="E4" s="4">
        <v>1E-06</v>
      </c>
      <c r="F4" s="4">
        <v>0.01</v>
      </c>
      <c r="G4" s="4">
        <v>0.02</v>
      </c>
      <c r="H4" s="4">
        <v>0.03</v>
      </c>
      <c r="I4" s="4">
        <v>0.04</v>
      </c>
      <c r="J4" s="4">
        <v>0.05</v>
      </c>
      <c r="K4" s="4">
        <v>0.06</v>
      </c>
      <c r="L4" s="4">
        <v>0.07</v>
      </c>
      <c r="M4" s="4">
        <v>0.08</v>
      </c>
      <c r="N4" s="4">
        <v>0.09</v>
      </c>
      <c r="O4" s="4">
        <v>0.1</v>
      </c>
      <c r="P4" s="4">
        <v>0.11</v>
      </c>
      <c r="Q4" s="4">
        <v>0.12</v>
      </c>
      <c r="R4" s="4">
        <v>0.13</v>
      </c>
      <c r="S4" s="4">
        <v>0.14</v>
      </c>
      <c r="T4" s="4">
        <v>0.15</v>
      </c>
      <c r="U4" s="4">
        <v>0.16</v>
      </c>
      <c r="V4" s="4">
        <v>0.17</v>
      </c>
      <c r="W4" s="4">
        <v>0.18</v>
      </c>
      <c r="X4" s="4">
        <v>0.19</v>
      </c>
      <c r="Y4" s="4">
        <v>0.2</v>
      </c>
      <c r="Z4" s="4">
        <v>0.21</v>
      </c>
      <c r="AA4" s="4">
        <v>0.22</v>
      </c>
      <c r="AB4" s="4">
        <v>0.23</v>
      </c>
      <c r="AC4" s="4">
        <v>0.24</v>
      </c>
      <c r="AD4" s="4">
        <v>0.25</v>
      </c>
      <c r="AE4" s="4">
        <v>0.26</v>
      </c>
      <c r="AF4" s="4">
        <v>0.27</v>
      </c>
      <c r="AG4" s="4">
        <v>0.28</v>
      </c>
      <c r="AH4" s="4">
        <v>0.29</v>
      </c>
      <c r="AI4" s="4">
        <v>0.3</v>
      </c>
      <c r="AJ4" s="4">
        <v>0.31</v>
      </c>
      <c r="AK4" s="4">
        <v>0.32</v>
      </c>
      <c r="AL4" s="4">
        <v>0.33</v>
      </c>
      <c r="AM4" s="4">
        <v>0.34</v>
      </c>
      <c r="AN4" s="4">
        <v>0.35</v>
      </c>
      <c r="AO4" s="4">
        <v>0.36</v>
      </c>
      <c r="AP4" s="4">
        <v>0.37</v>
      </c>
      <c r="AQ4" s="4">
        <v>0.38</v>
      </c>
      <c r="AR4" s="4">
        <v>0.39</v>
      </c>
      <c r="AS4" s="4">
        <v>0.4</v>
      </c>
      <c r="AT4" s="4">
        <v>0.41</v>
      </c>
      <c r="AU4" s="4">
        <v>0.42</v>
      </c>
      <c r="AV4" s="4">
        <v>0.43</v>
      </c>
      <c r="AW4" s="4">
        <v>0.44</v>
      </c>
      <c r="AX4" s="4">
        <v>0.45</v>
      </c>
      <c r="AY4" s="4">
        <v>0.46</v>
      </c>
      <c r="AZ4" s="4">
        <v>0.47</v>
      </c>
      <c r="BA4" s="4">
        <v>0.48</v>
      </c>
      <c r="BB4" s="4">
        <v>0.49</v>
      </c>
      <c r="BC4" s="4">
        <v>0.5</v>
      </c>
      <c r="BD4" s="4">
        <v>0.51</v>
      </c>
      <c r="BE4" s="4">
        <v>0.52</v>
      </c>
      <c r="BF4" s="4">
        <v>0.53</v>
      </c>
      <c r="BG4" s="4">
        <v>0.54</v>
      </c>
      <c r="BH4" s="4">
        <v>0.55</v>
      </c>
      <c r="BI4" s="4">
        <v>0.56</v>
      </c>
      <c r="BJ4" s="4">
        <v>0.57</v>
      </c>
      <c r="BK4" s="4">
        <v>0.58</v>
      </c>
      <c r="BL4" s="4">
        <v>0.59</v>
      </c>
      <c r="BM4" s="4">
        <v>0.6</v>
      </c>
      <c r="BN4" s="4">
        <v>0.61</v>
      </c>
      <c r="BO4" s="4">
        <v>0.62</v>
      </c>
      <c r="BP4" s="4">
        <v>0.63</v>
      </c>
      <c r="BQ4" s="4">
        <v>0.64</v>
      </c>
      <c r="BR4" s="4">
        <v>0.65</v>
      </c>
      <c r="BS4" s="4">
        <v>0.66</v>
      </c>
      <c r="BT4" s="4">
        <v>0.67</v>
      </c>
      <c r="BU4" s="4">
        <v>0.68</v>
      </c>
      <c r="BV4" s="4">
        <v>0.69</v>
      </c>
      <c r="BW4" s="4">
        <v>0.7</v>
      </c>
      <c r="BX4" s="4">
        <v>0.71</v>
      </c>
      <c r="BY4" s="4">
        <v>0.72</v>
      </c>
      <c r="BZ4" s="4">
        <v>0.73</v>
      </c>
      <c r="CA4" s="4">
        <v>0.74</v>
      </c>
      <c r="CB4" s="4">
        <v>0.75</v>
      </c>
      <c r="CC4" s="4">
        <v>0.76</v>
      </c>
      <c r="CD4" s="4">
        <v>0.77</v>
      </c>
      <c r="CE4" s="4">
        <v>0.78</v>
      </c>
      <c r="CF4" s="4">
        <v>0.79</v>
      </c>
      <c r="CG4" s="4">
        <v>0.8</v>
      </c>
      <c r="CH4" s="4">
        <v>0.81</v>
      </c>
      <c r="CI4" s="4">
        <v>0.82</v>
      </c>
      <c r="CJ4" s="4">
        <v>0.83</v>
      </c>
      <c r="CK4" s="4">
        <v>0.84</v>
      </c>
      <c r="CL4" s="4">
        <v>0.85</v>
      </c>
      <c r="CM4" s="4">
        <v>0.86</v>
      </c>
      <c r="CN4" s="4">
        <v>0.87</v>
      </c>
      <c r="CO4" s="4">
        <v>0.88</v>
      </c>
      <c r="CP4" s="4">
        <v>0.89</v>
      </c>
      <c r="CQ4" s="4">
        <v>0.9</v>
      </c>
      <c r="CR4" s="4">
        <v>0.91</v>
      </c>
      <c r="CS4" s="4">
        <v>0.92</v>
      </c>
      <c r="CT4" s="4">
        <v>0.93</v>
      </c>
      <c r="CU4" s="4">
        <v>0.94</v>
      </c>
      <c r="CV4" s="4">
        <v>0.95</v>
      </c>
      <c r="CW4" s="4">
        <v>0.96</v>
      </c>
      <c r="CX4" s="4">
        <v>0.97</v>
      </c>
      <c r="CY4" s="4">
        <v>0.98</v>
      </c>
      <c r="CZ4" s="4">
        <v>0.99</v>
      </c>
      <c r="DA4" s="4">
        <v>1</v>
      </c>
    </row>
    <row r="5" spans="1:105" ht="12.75">
      <c r="A5" t="str">
        <f>"Genauere Wahrsch.(x&gt;="&amp;TEXT(k,"standard")&amp;")"</f>
        <v>Genauere Wahrsch.(x&gt;=10)</v>
      </c>
      <c r="B5" s="31">
        <f>1-BINOMDIST(k-1,n,P,TRUE)</f>
        <v>0.050018780872000734</v>
      </c>
      <c r="C5" s="25">
        <f>1-BINOMDIST(k-1,n,C4,TRUE)</f>
        <v>0.974605161238938</v>
      </c>
      <c r="D5" s="5" t="str">
        <f>"Wahrsch.(x&gt;="&amp;TEXT(k,"standard")&amp;")"</f>
        <v>Wahrsch.(x&gt;=10)</v>
      </c>
      <c r="E5" s="1">
        <f aca="true" t="shared" si="0" ref="E5:AJ5">1-BINOMDIST(k-1,n,E4,TRUE)</f>
        <v>2.886579864025407E-15</v>
      </c>
      <c r="F5" s="1">
        <f t="shared" si="0"/>
        <v>7.63158760630489E-08</v>
      </c>
      <c r="G5" s="1">
        <f t="shared" si="0"/>
        <v>3.441680604443498E-05</v>
      </c>
      <c r="H5" s="1">
        <f t="shared" si="0"/>
        <v>0.0008740584737386703</v>
      </c>
      <c r="I5" s="1">
        <f t="shared" si="0"/>
        <v>0.006844458782845564</v>
      </c>
      <c r="J5" s="1">
        <f t="shared" si="0"/>
        <v>0.028188294163419725</v>
      </c>
      <c r="K5" s="1">
        <f t="shared" si="0"/>
        <v>0.07753905734561728</v>
      </c>
      <c r="L5" s="1">
        <f t="shared" si="0"/>
        <v>0.16201958863031984</v>
      </c>
      <c r="M5" s="1">
        <f t="shared" si="0"/>
        <v>0.27802201915512337</v>
      </c>
      <c r="N5" s="1">
        <f t="shared" si="0"/>
        <v>0.4124940794156351</v>
      </c>
      <c r="O5" s="1">
        <f t="shared" si="0"/>
        <v>0.5487098345579948</v>
      </c>
      <c r="P5" s="1">
        <f t="shared" si="0"/>
        <v>0.6722471576317104</v>
      </c>
      <c r="Q5" s="1">
        <f t="shared" si="0"/>
        <v>0.7743481049071606</v>
      </c>
      <c r="R5" s="1">
        <f t="shared" si="0"/>
        <v>0.8522738239212997</v>
      </c>
      <c r="S5" s="1">
        <f t="shared" si="0"/>
        <v>0.9077575766507314</v>
      </c>
      <c r="T5" s="1">
        <f t="shared" si="0"/>
        <v>0.9449053683077058</v>
      </c>
      <c r="U5" s="1">
        <f t="shared" si="0"/>
        <v>0.9684405727058137</v>
      </c>
      <c r="V5" s="1">
        <f t="shared" si="0"/>
        <v>0.9826219747196973</v>
      </c>
      <c r="W5" s="1">
        <f t="shared" si="0"/>
        <v>0.9907825737067099</v>
      </c>
      <c r="X5" s="1">
        <f t="shared" si="0"/>
        <v>0.9952823304475514</v>
      </c>
      <c r="Y5" s="1">
        <f t="shared" si="0"/>
        <v>0.9976664390137892</v>
      </c>
      <c r="Z5" s="1">
        <f t="shared" si="0"/>
        <v>0.9988829950554271</v>
      </c>
      <c r="AA5" s="1">
        <f t="shared" si="0"/>
        <v>0.9994820099594005</v>
      </c>
      <c r="AB5" s="1">
        <f t="shared" si="0"/>
        <v>0.9997670680571359</v>
      </c>
      <c r="AC5" s="1">
        <f t="shared" si="0"/>
        <v>0.9998983465574814</v>
      </c>
      <c r="AD5" s="1">
        <f t="shared" si="0"/>
        <v>0.99995691908546</v>
      </c>
      <c r="AE5" s="1">
        <f t="shared" si="0"/>
        <v>0.9999822602136793</v>
      </c>
      <c r="AF5" s="1">
        <f t="shared" si="0"/>
        <v>0.9999928993985385</v>
      </c>
      <c r="AG5" s="1">
        <f t="shared" si="0"/>
        <v>0.9999972364707004</v>
      </c>
      <c r="AH5" s="1">
        <f t="shared" si="0"/>
        <v>0.9999989539458772</v>
      </c>
      <c r="AI5" s="1">
        <f t="shared" si="0"/>
        <v>0.9999996148520361</v>
      </c>
      <c r="AJ5" s="1">
        <f t="shared" si="0"/>
        <v>0.9999998620528989</v>
      </c>
      <c r="AK5" s="1">
        <f aca="true" t="shared" si="1" ref="AK5:BC5">1-BINOMDIST(k-1,n,AK4,TRUE)</f>
        <v>0.9999999519376095</v>
      </c>
      <c r="AL5" s="1">
        <f t="shared" si="1"/>
        <v>0.9999999837118324</v>
      </c>
      <c r="AM5" s="1">
        <f t="shared" si="1"/>
        <v>0.9999999946315262</v>
      </c>
      <c r="AN5" s="1">
        <f t="shared" si="1"/>
        <v>0.9999999982795128</v>
      </c>
      <c r="AO5" s="1">
        <f t="shared" si="1"/>
        <v>0.9999999994640087</v>
      </c>
      <c r="AP5" s="1">
        <f t="shared" si="1"/>
        <v>0.999999999837734</v>
      </c>
      <c r="AQ5" s="1">
        <f t="shared" si="1"/>
        <v>0.9999999999522808</v>
      </c>
      <c r="AR5" s="1">
        <f t="shared" si="1"/>
        <v>0.9999999999863742</v>
      </c>
      <c r="AS5" s="1">
        <f t="shared" si="1"/>
        <v>0.9999999999962241</v>
      </c>
      <c r="AT5" s="1">
        <f t="shared" si="1"/>
        <v>0.9999999999989851</v>
      </c>
      <c r="AU5" s="1">
        <f t="shared" si="1"/>
        <v>0.9999999999997355</v>
      </c>
      <c r="AV5" s="1">
        <f t="shared" si="1"/>
        <v>0.9999999999999333</v>
      </c>
      <c r="AW5" s="1">
        <f t="shared" si="1"/>
        <v>0.9999999999999837</v>
      </c>
      <c r="AX5" s="1">
        <f t="shared" si="1"/>
        <v>0.9999999999999961</v>
      </c>
      <c r="AY5" s="1">
        <f t="shared" si="1"/>
        <v>0.9999999999999991</v>
      </c>
      <c r="AZ5" s="1">
        <f t="shared" si="1"/>
        <v>0.9999999999999998</v>
      </c>
      <c r="BA5" s="1">
        <f t="shared" si="1"/>
        <v>1</v>
      </c>
      <c r="BB5" s="1">
        <f t="shared" si="1"/>
        <v>1</v>
      </c>
      <c r="BC5" s="1">
        <f t="shared" si="1"/>
        <v>1</v>
      </c>
      <c r="BD5" s="1">
        <f aca="true" t="shared" si="2" ref="BD5:CI5">1-BINOMDIST(k-1,n,BD4,TRUE)</f>
        <v>1</v>
      </c>
      <c r="BE5" s="1">
        <f t="shared" si="2"/>
        <v>1</v>
      </c>
      <c r="BF5" s="1">
        <f t="shared" si="2"/>
        <v>1</v>
      </c>
      <c r="BG5" s="1">
        <f t="shared" si="2"/>
        <v>1</v>
      </c>
      <c r="BH5" s="1">
        <f t="shared" si="2"/>
        <v>1</v>
      </c>
      <c r="BI5" s="1">
        <f t="shared" si="2"/>
        <v>1</v>
      </c>
      <c r="BJ5" s="1">
        <f t="shared" si="2"/>
        <v>1</v>
      </c>
      <c r="BK5" s="1">
        <f t="shared" si="2"/>
        <v>1</v>
      </c>
      <c r="BL5" s="1">
        <f t="shared" si="2"/>
        <v>1</v>
      </c>
      <c r="BM5" s="1">
        <f t="shared" si="2"/>
        <v>1</v>
      </c>
      <c r="BN5" s="1">
        <f t="shared" si="2"/>
        <v>1</v>
      </c>
      <c r="BO5" s="1">
        <f t="shared" si="2"/>
        <v>1</v>
      </c>
      <c r="BP5" s="1">
        <f t="shared" si="2"/>
        <v>1</v>
      </c>
      <c r="BQ5" s="1">
        <f t="shared" si="2"/>
        <v>1</v>
      </c>
      <c r="BR5" s="1">
        <f t="shared" si="2"/>
        <v>1</v>
      </c>
      <c r="BS5" s="1">
        <f t="shared" si="2"/>
        <v>1</v>
      </c>
      <c r="BT5" s="1">
        <f t="shared" si="2"/>
        <v>1</v>
      </c>
      <c r="BU5" s="1">
        <f t="shared" si="2"/>
        <v>1</v>
      </c>
      <c r="BV5" s="1">
        <f t="shared" si="2"/>
        <v>1</v>
      </c>
      <c r="BW5" s="1">
        <f t="shared" si="2"/>
        <v>1</v>
      </c>
      <c r="BX5" s="1">
        <f t="shared" si="2"/>
        <v>1</v>
      </c>
      <c r="BY5" s="1">
        <f t="shared" si="2"/>
        <v>1</v>
      </c>
      <c r="BZ5" s="1">
        <f t="shared" si="2"/>
        <v>1</v>
      </c>
      <c r="CA5" s="1">
        <f t="shared" si="2"/>
        <v>1</v>
      </c>
      <c r="CB5" s="1">
        <f t="shared" si="2"/>
        <v>1</v>
      </c>
      <c r="CC5" s="1">
        <f t="shared" si="2"/>
        <v>1</v>
      </c>
      <c r="CD5" s="1">
        <f t="shared" si="2"/>
        <v>1</v>
      </c>
      <c r="CE5" s="1">
        <f t="shared" si="2"/>
        <v>1</v>
      </c>
      <c r="CF5" s="1">
        <f t="shared" si="2"/>
        <v>1</v>
      </c>
      <c r="CG5" s="1">
        <f t="shared" si="2"/>
        <v>1</v>
      </c>
      <c r="CH5" s="1">
        <f t="shared" si="2"/>
        <v>1</v>
      </c>
      <c r="CI5" s="1">
        <f t="shared" si="2"/>
        <v>1</v>
      </c>
      <c r="CJ5" s="1">
        <f aca="true" t="shared" si="3" ref="CJ5:DA5">1-BINOMDIST(k-1,n,CJ4,TRUE)</f>
        <v>1</v>
      </c>
      <c r="CK5" s="1">
        <f t="shared" si="3"/>
        <v>1</v>
      </c>
      <c r="CL5" s="1">
        <f t="shared" si="3"/>
        <v>1</v>
      </c>
      <c r="CM5" s="1">
        <f t="shared" si="3"/>
        <v>1</v>
      </c>
      <c r="CN5" s="1">
        <f t="shared" si="3"/>
        <v>1</v>
      </c>
      <c r="CO5" s="1">
        <f t="shared" si="3"/>
        <v>1</v>
      </c>
      <c r="CP5" s="1">
        <f t="shared" si="3"/>
        <v>1</v>
      </c>
      <c r="CQ5" s="1">
        <f t="shared" si="3"/>
        <v>1</v>
      </c>
      <c r="CR5" s="1">
        <f t="shared" si="3"/>
        <v>1</v>
      </c>
      <c r="CS5" s="1">
        <f t="shared" si="3"/>
        <v>1</v>
      </c>
      <c r="CT5" s="1">
        <f t="shared" si="3"/>
        <v>1</v>
      </c>
      <c r="CU5" s="1">
        <f t="shared" si="3"/>
        <v>1</v>
      </c>
      <c r="CV5" s="1">
        <f t="shared" si="3"/>
        <v>1</v>
      </c>
      <c r="CW5" s="1">
        <f t="shared" si="3"/>
        <v>1</v>
      </c>
      <c r="CX5" s="1">
        <f t="shared" si="3"/>
        <v>1</v>
      </c>
      <c r="CY5" s="1">
        <f t="shared" si="3"/>
        <v>1</v>
      </c>
      <c r="CZ5" s="1">
        <f t="shared" si="3"/>
        <v>1</v>
      </c>
      <c r="DA5" s="1">
        <f t="shared" si="3"/>
        <v>1</v>
      </c>
    </row>
    <row r="6" spans="1:105" ht="12.75">
      <c r="A6" t="str">
        <f>"Genauere Wahrsch.(x&lt;="&amp;TEXT(k,"standard")&amp;")"</f>
        <v>Genauere Wahrsch.(x&lt;=10)</v>
      </c>
      <c r="B6" s="25">
        <f>BINOMDIST(k,n,P,TRUE)</f>
        <v>0.9775731096220148</v>
      </c>
      <c r="C6" s="31">
        <f>BINOMDIST(k,n,C4,TRUE)</f>
        <v>0.049999796836692756</v>
      </c>
      <c r="D6" s="6" t="str">
        <f>"Wahrsch.(x&lt;="&amp;TEXT(k,"standard")&amp;")"</f>
        <v>Wahrsch.(x&lt;=10)</v>
      </c>
      <c r="E6" s="1">
        <f>BINOMDIST(k,n,E4,TRUE)</f>
        <v>0.9999999999999971</v>
      </c>
      <c r="F6" s="1">
        <f>BINOMDIST(k,n,F4,TRUE)</f>
        <v>0.9999999937444809</v>
      </c>
      <c r="G6" s="1">
        <f>BINOMDIST(k,n,G4,TRUE)</f>
        <v>0.9999943539716141</v>
      </c>
      <c r="H6" s="1">
        <f aca="true" t="shared" si="4" ref="H6:AM6">BINOMDIST(k,n,H4,TRUE)</f>
        <v>0.9997850751447519</v>
      </c>
      <c r="I6" s="1">
        <f t="shared" si="4"/>
        <v>0.9977614540925283</v>
      </c>
      <c r="J6" s="1">
        <f t="shared" si="4"/>
        <v>0.9885275899325117</v>
      </c>
      <c r="K6" s="1">
        <f t="shared" si="4"/>
        <v>0.9623932274327869</v>
      </c>
      <c r="L6" s="1">
        <f t="shared" si="4"/>
        <v>0.9092247897989555</v>
      </c>
      <c r="M6" s="1">
        <f t="shared" si="4"/>
        <v>0.8243330044654505</v>
      </c>
      <c r="N6" s="1">
        <f t="shared" si="4"/>
        <v>0.7118013717616409</v>
      </c>
      <c r="O6" s="1">
        <f t="shared" si="4"/>
        <v>0.583155512266494</v>
      </c>
      <c r="P6" s="1">
        <f t="shared" si="4"/>
        <v>0.452874440102202</v>
      </c>
      <c r="Q6" s="1">
        <f t="shared" si="4"/>
        <v>0.3336852307911135</v>
      </c>
      <c r="R6" s="1">
        <f t="shared" si="4"/>
        <v>0.23372075822580501</v>
      </c>
      <c r="S6" s="1">
        <f t="shared" si="4"/>
        <v>0.15598737565717985</v>
      </c>
      <c r="T6" s="1">
        <f t="shared" si="4"/>
        <v>0.09944740049806847</v>
      </c>
      <c r="U6" s="1">
        <f t="shared" si="4"/>
        <v>0.06070955112222613</v>
      </c>
      <c r="V6" s="1">
        <f t="shared" si="4"/>
        <v>0.03556759222116822</v>
      </c>
      <c r="W6" s="1">
        <f t="shared" si="4"/>
        <v>0.020038655534346056</v>
      </c>
      <c r="X6" s="1">
        <f t="shared" si="4"/>
        <v>0.010876419058267507</v>
      </c>
      <c r="Y6" s="1">
        <f t="shared" si="4"/>
        <v>0.005696380955793538</v>
      </c>
      <c r="Z6" s="1">
        <f t="shared" si="4"/>
        <v>0.002882782512402654</v>
      </c>
      <c r="AA6" s="1">
        <f t="shared" si="4"/>
        <v>0.0014113899049475525</v>
      </c>
      <c r="AB6" s="1">
        <f t="shared" si="4"/>
        <v>0.0006691950192351141</v>
      </c>
      <c r="AC6" s="1">
        <f t="shared" si="4"/>
        <v>0.00030754595544074307</v>
      </c>
      <c r="AD6" s="1">
        <f t="shared" si="4"/>
        <v>0.00013710056316795064</v>
      </c>
      <c r="AE6" s="1">
        <f t="shared" si="4"/>
        <v>5.932060992865327E-05</v>
      </c>
      <c r="AF6" s="1">
        <f t="shared" si="4"/>
        <v>2.4924384385841957E-05</v>
      </c>
      <c r="AG6" s="1">
        <f t="shared" si="4"/>
        <v>1.0173386253339858E-05</v>
      </c>
      <c r="AH6" s="1">
        <f t="shared" si="4"/>
        <v>4.035124878400168E-06</v>
      </c>
      <c r="AI6" s="1">
        <f t="shared" si="4"/>
        <v>1.5555659316780435E-06</v>
      </c>
      <c r="AJ6" s="1">
        <f t="shared" si="4"/>
        <v>5.829265322293537E-07</v>
      </c>
      <c r="AK6" s="1">
        <f t="shared" si="4"/>
        <v>2.1235073703481474E-07</v>
      </c>
      <c r="AL6" s="1">
        <f t="shared" si="4"/>
        <v>7.519646542350909E-08</v>
      </c>
      <c r="AM6" s="1">
        <f t="shared" si="4"/>
        <v>2.5882372228258094E-08</v>
      </c>
      <c r="AN6" s="1">
        <f aca="true" t="shared" si="5" ref="AN6:BC6">BINOMDIST(k,n,AN4,TRUE)</f>
        <v>8.657737590758026E-09</v>
      </c>
      <c r="AO6" s="1">
        <f t="shared" si="5"/>
        <v>2.813853716544107E-09</v>
      </c>
      <c r="AP6" s="1">
        <f t="shared" si="5"/>
        <v>8.8832429477265E-10</v>
      </c>
      <c r="AQ6" s="1">
        <f t="shared" si="5"/>
        <v>2.7231040855551743E-10</v>
      </c>
      <c r="AR6" s="1">
        <f t="shared" si="5"/>
        <v>8.102204900043085E-11</v>
      </c>
      <c r="AS6" s="1">
        <f t="shared" si="5"/>
        <v>2.3387617689220196E-11</v>
      </c>
      <c r="AT6" s="1">
        <f t="shared" si="5"/>
        <v>6.5461175999370024E-12</v>
      </c>
      <c r="AU6" s="1">
        <f t="shared" si="5"/>
        <v>1.7755846203050616E-12</v>
      </c>
      <c r="AV6" s="1">
        <f t="shared" si="5"/>
        <v>4.664190836122392E-13</v>
      </c>
      <c r="AW6" s="1">
        <f t="shared" si="5"/>
        <v>1.1857098367259858E-13</v>
      </c>
      <c r="AX6" s="1">
        <f t="shared" si="5"/>
        <v>2.914800362143018E-14</v>
      </c>
      <c r="AY6" s="1">
        <f t="shared" si="5"/>
        <v>6.923071063562787E-15</v>
      </c>
      <c r="AZ6" s="1">
        <f t="shared" si="5"/>
        <v>1.5872617122553989E-15</v>
      </c>
      <c r="BA6" s="1">
        <f t="shared" si="5"/>
        <v>3.5093414771161683E-16</v>
      </c>
      <c r="BB6" s="1">
        <f t="shared" si="5"/>
        <v>7.47417450967802E-17</v>
      </c>
      <c r="BC6" s="1">
        <f t="shared" si="5"/>
        <v>1.531645087718997E-17</v>
      </c>
      <c r="BD6" s="1">
        <f aca="true" t="shared" si="6" ref="BD6:DA6">BINOMDIST(k,n,BD4,TRUE)</f>
        <v>3.0162579683087476E-18</v>
      </c>
      <c r="BE6" s="1">
        <f t="shared" si="6"/>
        <v>5.700476328515074E-19</v>
      </c>
      <c r="BF6" s="1">
        <f t="shared" si="6"/>
        <v>1.0324259132163755E-19</v>
      </c>
      <c r="BG6" s="1">
        <f t="shared" si="6"/>
        <v>1.7891102265311255E-20</v>
      </c>
      <c r="BH6" s="1">
        <f t="shared" si="6"/>
        <v>2.9615567126819874E-21</v>
      </c>
      <c r="BI6" s="1">
        <f t="shared" si="6"/>
        <v>4.674410793252627E-22</v>
      </c>
      <c r="BJ6" s="1">
        <f t="shared" si="6"/>
        <v>7.021289011336541E-23</v>
      </c>
      <c r="BK6" s="1">
        <f t="shared" si="6"/>
        <v>1.0015766884512955E-23</v>
      </c>
      <c r="BL6" s="1">
        <f t="shared" si="6"/>
        <v>1.3537929389180518E-24</v>
      </c>
      <c r="BM6" s="1">
        <f t="shared" si="6"/>
        <v>1.7296836142586847E-25</v>
      </c>
      <c r="BN6" s="1">
        <f t="shared" si="6"/>
        <v>2.083474066939961E-26</v>
      </c>
      <c r="BO6" s="1">
        <f t="shared" si="6"/>
        <v>2.359301911162293E-27</v>
      </c>
      <c r="BP6" s="1">
        <f t="shared" si="6"/>
        <v>2.5038979302540903E-28</v>
      </c>
      <c r="BQ6" s="1">
        <f t="shared" si="6"/>
        <v>2.4821999220118253E-29</v>
      </c>
      <c r="BR6" s="1">
        <f t="shared" si="6"/>
        <v>2.2901627001701012E-30</v>
      </c>
      <c r="BS6" s="1">
        <f t="shared" si="6"/>
        <v>1.9587831660710853E-31</v>
      </c>
      <c r="BT6" s="1">
        <f t="shared" si="6"/>
        <v>1.546392720242082E-32</v>
      </c>
      <c r="BU6" s="1">
        <f t="shared" si="6"/>
        <v>1.1215337280873506E-33</v>
      </c>
      <c r="BV6" s="1">
        <f t="shared" si="6"/>
        <v>7.433787523452207E-35</v>
      </c>
      <c r="BW6" s="1">
        <f t="shared" si="6"/>
        <v>4.477482114901754E-36</v>
      </c>
      <c r="BX6" s="1">
        <f t="shared" si="6"/>
        <v>2.4352763571441523E-37</v>
      </c>
      <c r="BY6" s="1">
        <f t="shared" si="6"/>
        <v>1.187753941314674E-38</v>
      </c>
      <c r="BZ6" s="1">
        <f t="shared" si="6"/>
        <v>5.154752958419393E-40</v>
      </c>
      <c r="CA6" s="1">
        <f t="shared" si="6"/>
        <v>1.9735476823702497E-41</v>
      </c>
      <c r="CB6" s="1">
        <f t="shared" si="6"/>
        <v>6.601716316327129E-43</v>
      </c>
      <c r="CC6" s="1">
        <f t="shared" si="6"/>
        <v>1.9086666715287554E-44</v>
      </c>
      <c r="CD6" s="1">
        <f t="shared" si="6"/>
        <v>4.711481575202184E-46</v>
      </c>
      <c r="CE6" s="1">
        <f t="shared" si="6"/>
        <v>9.793040664456684E-48</v>
      </c>
      <c r="CF6" s="1">
        <f t="shared" si="6"/>
        <v>1.6871150681815147E-49</v>
      </c>
      <c r="CG6" s="1">
        <f t="shared" si="6"/>
        <v>2.365727121870817E-51</v>
      </c>
      <c r="CH6" s="1">
        <f t="shared" si="6"/>
        <v>2.6441581559908417E-53</v>
      </c>
      <c r="CI6" s="1">
        <f t="shared" si="6"/>
        <v>2.299028889996211E-55</v>
      </c>
      <c r="CJ6" s="1">
        <f t="shared" si="6"/>
        <v>1.511298178184908E-57</v>
      </c>
      <c r="CK6" s="1">
        <f t="shared" si="6"/>
        <v>7.262085409821318E-60</v>
      </c>
      <c r="CL6" s="1">
        <f t="shared" si="6"/>
        <v>2.4501551173724244E-62</v>
      </c>
      <c r="CM6" s="1">
        <f t="shared" si="6"/>
        <v>5.528868614399345E-65</v>
      </c>
      <c r="CN6" s="1">
        <f t="shared" si="6"/>
        <v>7.862783205344014E-68</v>
      </c>
      <c r="CO6" s="1">
        <f t="shared" si="6"/>
        <v>6.546208992180159E-71</v>
      </c>
      <c r="CP6" s="1">
        <f t="shared" si="6"/>
        <v>2.9072108539326345E-74</v>
      </c>
      <c r="CQ6" s="1">
        <f t="shared" si="6"/>
        <v>6.11023682419097E-78</v>
      </c>
      <c r="CR6" s="1">
        <f t="shared" si="6"/>
        <v>5.1914027448429585E-82</v>
      </c>
      <c r="CS6" s="1">
        <f t="shared" si="6"/>
        <v>1.4402816686169733E-86</v>
      </c>
      <c r="CT6" s="1">
        <f t="shared" si="6"/>
        <v>9.673012000376737E-92</v>
      </c>
      <c r="CU6" s="1">
        <f t="shared" si="6"/>
        <v>1.0144964149314306E-97</v>
      </c>
      <c r="CV6" s="1">
        <f t="shared" si="6"/>
        <v>8.42090524034098E-105</v>
      </c>
      <c r="CW6" s="1">
        <f t="shared" si="6"/>
        <v>1.7717745876064255E-113</v>
      </c>
      <c r="CX6" s="1">
        <f t="shared" si="6"/>
        <v>1.1179260592877287E-124</v>
      </c>
      <c r="CY6" s="1">
        <f t="shared" si="6"/>
        <v>1.754850098341544E-140</v>
      </c>
      <c r="CZ6" s="1">
        <f t="shared" si="6"/>
        <v>1.5672527987009857E-167</v>
      </c>
      <c r="DA6" s="1">
        <f t="shared" si="6"/>
        <v>0</v>
      </c>
    </row>
    <row r="7" spans="1:3" ht="12.75">
      <c r="A7" t="str">
        <f>"Genauere Wahrsch.(x="&amp;TEXT(k,"standard")&amp;")"</f>
        <v>Genauere Wahrsch.(x=10)</v>
      </c>
      <c r="B7" s="25">
        <f>BINOMDIST(k,n,P,FALSE)</f>
        <v>0.027591890494015614</v>
      </c>
      <c r="C7" s="25"/>
    </row>
    <row r="8" spans="1:3" ht="12.75">
      <c r="A8" s="28" t="s">
        <v>22</v>
      </c>
      <c r="B8" s="29" t="str">
        <f>IF(ABS(1-B5-B6)-B7&lt;0.000001,"OK","Fehler")</f>
        <v>OK</v>
      </c>
      <c r="C8" s="29"/>
    </row>
    <row r="31" ht="12.75">
      <c r="A31" s="13" t="s">
        <v>23</v>
      </c>
    </row>
    <row r="32" ht="16.5" customHeight="1">
      <c r="A32" t="s">
        <v>51</v>
      </c>
    </row>
    <row r="33" ht="12.75">
      <c r="A33" t="s">
        <v>52</v>
      </c>
    </row>
    <row r="34" ht="12.75">
      <c r="A34" t="s">
        <v>53</v>
      </c>
    </row>
    <row r="35" ht="12.75">
      <c r="A35" t="s">
        <v>54</v>
      </c>
    </row>
    <row r="36" ht="12.75">
      <c r="A36" t="s">
        <v>55</v>
      </c>
    </row>
    <row r="37" s="12" customFormat="1" ht="24.75" customHeight="1">
      <c r="A37" s="11"/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1"/>
  <sheetViews>
    <sheetView showGridLines="0" workbookViewId="0" topLeftCell="A1">
      <selection activeCell="M3" sqref="M3"/>
    </sheetView>
  </sheetViews>
  <sheetFormatPr defaultColWidth="11.421875" defaultRowHeight="12.75" outlineLevelRow="1" outlineLevelCol="1"/>
  <cols>
    <col min="1" max="1" width="8.421875" style="20" customWidth="1"/>
    <col min="2" max="2" width="31.57421875" style="20" customWidth="1"/>
    <col min="3" max="3" width="8.57421875" style="20" customWidth="1"/>
    <col min="4" max="4" width="8.8515625" style="24" customWidth="1" outlineLevel="1"/>
    <col min="5" max="5" width="7.140625" style="24" customWidth="1" outlineLevel="1"/>
    <col min="6" max="6" width="9.28125" style="24" customWidth="1" outlineLevel="1"/>
    <col min="7" max="7" width="8.7109375" style="24" customWidth="1" outlineLevel="1"/>
    <col min="8" max="8" width="7.421875" style="24" customWidth="1"/>
    <col min="9" max="12" width="7.421875" style="24" hidden="1" customWidth="1" outlineLevel="1"/>
    <col min="13" max="13" width="7.421875" style="24" customWidth="1" collapsed="1"/>
    <col min="14" max="17" width="7.421875" style="24" hidden="1" customWidth="1" outlineLevel="1"/>
    <col min="18" max="18" width="7.421875" style="24" customWidth="1" collapsed="1"/>
    <col min="19" max="22" width="7.421875" style="24" hidden="1" customWidth="1" outlineLevel="1"/>
    <col min="23" max="23" width="7.421875" style="24" customWidth="1" collapsed="1"/>
    <col min="24" max="27" width="7.421875" style="24" hidden="1" customWidth="1" outlineLevel="1"/>
    <col min="28" max="28" width="7.421875" style="24" customWidth="1" collapsed="1"/>
    <col min="29" max="32" width="7.421875" style="24" hidden="1" customWidth="1" outlineLevel="1"/>
    <col min="33" max="33" width="7.421875" style="24" customWidth="1" collapsed="1"/>
    <col min="34" max="37" width="7.421875" style="24" hidden="1" customWidth="1" outlineLevel="1"/>
    <col min="38" max="38" width="7.421875" style="24" customWidth="1" collapsed="1"/>
    <col min="39" max="42" width="7.421875" style="24" hidden="1" customWidth="1" outlineLevel="1"/>
    <col min="43" max="43" width="7.421875" style="24" customWidth="1" collapsed="1"/>
    <col min="44" max="47" width="7.421875" style="24" hidden="1" customWidth="1" outlineLevel="1"/>
    <col min="48" max="48" width="7.421875" style="24" customWidth="1" collapsed="1"/>
    <col min="49" max="52" width="7.421875" style="24" hidden="1" customWidth="1" outlineLevel="1"/>
    <col min="53" max="53" width="9.00390625" style="24" customWidth="1" collapsed="1"/>
    <col min="54" max="16384" width="9.140625" style="20" customWidth="1"/>
  </cols>
  <sheetData>
    <row r="1" spans="1:53" s="16" customFormat="1" ht="15.75">
      <c r="A1" s="16" t="s">
        <v>56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</row>
    <row r="2" s="18" customFormat="1" ht="12.75"/>
    <row r="3" spans="3:53" s="16" customFormat="1" ht="15.75" customHeight="1">
      <c r="C3" s="19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</row>
    <row r="4" spans="1:53" ht="15" customHeight="1">
      <c r="A4" s="35" t="s">
        <v>9</v>
      </c>
      <c r="B4" s="36" t="s">
        <v>40</v>
      </c>
      <c r="C4" s="37">
        <v>0.05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</row>
    <row r="5" spans="1:53" ht="15" customHeight="1">
      <c r="A5" s="38" t="s">
        <v>8</v>
      </c>
      <c r="B5" s="39" t="s">
        <v>39</v>
      </c>
      <c r="C5" s="40">
        <v>200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</row>
    <row r="6" spans="1:53" ht="15" customHeight="1">
      <c r="A6" s="41" t="s">
        <v>17</v>
      </c>
      <c r="B6" s="42" t="s">
        <v>35</v>
      </c>
      <c r="C6" s="43">
        <v>0</v>
      </c>
      <c r="D6" s="43">
        <v>4</v>
      </c>
      <c r="E6" s="43">
        <f aca="true" t="shared" si="0" ref="E6:BA6">_n*E7</f>
        <v>8</v>
      </c>
      <c r="F6" s="43">
        <f t="shared" si="0"/>
        <v>12</v>
      </c>
      <c r="G6" s="43">
        <f t="shared" si="0"/>
        <v>16</v>
      </c>
      <c r="H6" s="43">
        <f t="shared" si="0"/>
        <v>20</v>
      </c>
      <c r="I6" s="43">
        <f t="shared" si="0"/>
        <v>24</v>
      </c>
      <c r="J6" s="43">
        <f t="shared" si="0"/>
        <v>28.000000000000004</v>
      </c>
      <c r="K6" s="43">
        <f t="shared" si="0"/>
        <v>32</v>
      </c>
      <c r="L6" s="43">
        <f t="shared" si="0"/>
        <v>36</v>
      </c>
      <c r="M6" s="43">
        <f t="shared" si="0"/>
        <v>40</v>
      </c>
      <c r="N6" s="43">
        <f t="shared" si="0"/>
        <v>44</v>
      </c>
      <c r="O6" s="43">
        <f t="shared" si="0"/>
        <v>48</v>
      </c>
      <c r="P6" s="43">
        <f t="shared" si="0"/>
        <v>52</v>
      </c>
      <c r="Q6" s="43">
        <f t="shared" si="0"/>
        <v>56.00000000000001</v>
      </c>
      <c r="R6" s="43">
        <f t="shared" si="0"/>
        <v>60</v>
      </c>
      <c r="S6" s="43">
        <f t="shared" si="0"/>
        <v>64</v>
      </c>
      <c r="T6" s="43">
        <f t="shared" si="0"/>
        <v>68</v>
      </c>
      <c r="U6" s="43">
        <f t="shared" si="0"/>
        <v>72</v>
      </c>
      <c r="V6" s="43">
        <f t="shared" si="0"/>
        <v>76</v>
      </c>
      <c r="W6" s="43">
        <f t="shared" si="0"/>
        <v>80</v>
      </c>
      <c r="X6" s="43">
        <f t="shared" si="0"/>
        <v>84</v>
      </c>
      <c r="Y6" s="43">
        <f t="shared" si="0"/>
        <v>88</v>
      </c>
      <c r="Z6" s="43">
        <f t="shared" si="0"/>
        <v>92</v>
      </c>
      <c r="AA6" s="43">
        <f t="shared" si="0"/>
        <v>96</v>
      </c>
      <c r="AB6" s="43">
        <f t="shared" si="0"/>
        <v>100</v>
      </c>
      <c r="AC6" s="43">
        <f t="shared" si="0"/>
        <v>104</v>
      </c>
      <c r="AD6" s="43">
        <f t="shared" si="0"/>
        <v>108</v>
      </c>
      <c r="AE6" s="43">
        <f t="shared" si="0"/>
        <v>112.00000000000001</v>
      </c>
      <c r="AF6" s="43">
        <f t="shared" si="0"/>
        <v>115.99999999999999</v>
      </c>
      <c r="AG6" s="43">
        <f t="shared" si="0"/>
        <v>120</v>
      </c>
      <c r="AH6" s="43">
        <f t="shared" si="0"/>
        <v>124</v>
      </c>
      <c r="AI6" s="43">
        <f t="shared" si="0"/>
        <v>128</v>
      </c>
      <c r="AJ6" s="43">
        <f t="shared" si="0"/>
        <v>132</v>
      </c>
      <c r="AK6" s="43">
        <f t="shared" si="0"/>
        <v>136</v>
      </c>
      <c r="AL6" s="43">
        <f t="shared" si="0"/>
        <v>140</v>
      </c>
      <c r="AM6" s="43">
        <f t="shared" si="0"/>
        <v>144</v>
      </c>
      <c r="AN6" s="43">
        <f t="shared" si="0"/>
        <v>148</v>
      </c>
      <c r="AO6" s="43">
        <f t="shared" si="0"/>
        <v>152</v>
      </c>
      <c r="AP6" s="43">
        <f t="shared" si="0"/>
        <v>156</v>
      </c>
      <c r="AQ6" s="43">
        <f t="shared" si="0"/>
        <v>160</v>
      </c>
      <c r="AR6" s="43">
        <f t="shared" si="0"/>
        <v>164</v>
      </c>
      <c r="AS6" s="43">
        <f t="shared" si="0"/>
        <v>168</v>
      </c>
      <c r="AT6" s="43">
        <f t="shared" si="0"/>
        <v>172</v>
      </c>
      <c r="AU6" s="43">
        <f t="shared" si="0"/>
        <v>176</v>
      </c>
      <c r="AV6" s="43">
        <f t="shared" si="0"/>
        <v>180</v>
      </c>
      <c r="AW6" s="43">
        <f t="shared" si="0"/>
        <v>184</v>
      </c>
      <c r="AX6" s="43">
        <f t="shared" si="0"/>
        <v>188</v>
      </c>
      <c r="AY6" s="43">
        <f t="shared" si="0"/>
        <v>192</v>
      </c>
      <c r="AZ6" s="43">
        <f t="shared" si="0"/>
        <v>196</v>
      </c>
      <c r="BA6" s="44">
        <f t="shared" si="0"/>
        <v>200</v>
      </c>
    </row>
    <row r="7" spans="1:53" ht="15.75">
      <c r="A7" s="50" t="s">
        <v>2</v>
      </c>
      <c r="B7" s="51" t="s">
        <v>36</v>
      </c>
      <c r="C7" s="52">
        <v>0.001</v>
      </c>
      <c r="D7" s="52">
        <v>0.02</v>
      </c>
      <c r="E7" s="52">
        <v>0.04</v>
      </c>
      <c r="F7" s="52">
        <v>0.06</v>
      </c>
      <c r="G7" s="52">
        <v>0.08</v>
      </c>
      <c r="H7" s="52">
        <v>0.1</v>
      </c>
      <c r="I7" s="52">
        <v>0.12</v>
      </c>
      <c r="J7" s="52">
        <v>0.14</v>
      </c>
      <c r="K7" s="52">
        <v>0.16</v>
      </c>
      <c r="L7" s="52">
        <v>0.18</v>
      </c>
      <c r="M7" s="52">
        <v>0.2</v>
      </c>
      <c r="N7" s="52">
        <v>0.22</v>
      </c>
      <c r="O7" s="52">
        <v>0.24</v>
      </c>
      <c r="P7" s="52">
        <v>0.26</v>
      </c>
      <c r="Q7" s="52">
        <v>0.28</v>
      </c>
      <c r="R7" s="52">
        <v>0.3</v>
      </c>
      <c r="S7" s="52">
        <v>0.32</v>
      </c>
      <c r="T7" s="52">
        <v>0.34</v>
      </c>
      <c r="U7" s="52">
        <v>0.36</v>
      </c>
      <c r="V7" s="52">
        <v>0.38</v>
      </c>
      <c r="W7" s="52">
        <v>0.4</v>
      </c>
      <c r="X7" s="52">
        <v>0.42</v>
      </c>
      <c r="Y7" s="52">
        <v>0.44</v>
      </c>
      <c r="Z7" s="52">
        <v>0.46</v>
      </c>
      <c r="AA7" s="52">
        <v>0.48</v>
      </c>
      <c r="AB7" s="52">
        <v>0.5</v>
      </c>
      <c r="AC7" s="52">
        <v>0.52</v>
      </c>
      <c r="AD7" s="52">
        <v>0.54</v>
      </c>
      <c r="AE7" s="52">
        <v>0.56</v>
      </c>
      <c r="AF7" s="52">
        <v>0.58</v>
      </c>
      <c r="AG7" s="52">
        <v>0.6</v>
      </c>
      <c r="AH7" s="52">
        <v>0.62</v>
      </c>
      <c r="AI7" s="52">
        <v>0.64</v>
      </c>
      <c r="AJ7" s="52">
        <v>0.66</v>
      </c>
      <c r="AK7" s="52">
        <v>0.68</v>
      </c>
      <c r="AL7" s="52">
        <v>0.7</v>
      </c>
      <c r="AM7" s="52">
        <v>0.72</v>
      </c>
      <c r="AN7" s="52">
        <v>0.74</v>
      </c>
      <c r="AO7" s="52">
        <v>0.76</v>
      </c>
      <c r="AP7" s="52">
        <v>0.78</v>
      </c>
      <c r="AQ7" s="52">
        <v>0.8</v>
      </c>
      <c r="AR7" s="52">
        <v>0.82</v>
      </c>
      <c r="AS7" s="52">
        <v>0.84</v>
      </c>
      <c r="AT7" s="52">
        <v>0.86</v>
      </c>
      <c r="AU7" s="52">
        <v>0.88</v>
      </c>
      <c r="AV7" s="52">
        <v>0.9</v>
      </c>
      <c r="AW7" s="52">
        <v>0.92</v>
      </c>
      <c r="AX7" s="52">
        <v>0.94</v>
      </c>
      <c r="AY7" s="52">
        <v>0.96</v>
      </c>
      <c r="AZ7" s="52">
        <v>0.98</v>
      </c>
      <c r="BA7" s="53">
        <v>1</v>
      </c>
    </row>
    <row r="8" spans="1:53" s="22" customFormat="1" ht="15.75" outlineLevel="1">
      <c r="A8" s="45" t="s">
        <v>18</v>
      </c>
      <c r="B8" s="46" t="s">
        <v>37</v>
      </c>
      <c r="C8" s="47" t="e">
        <f aca="true" t="shared" si="1" ref="C8:BA8">FINV(Alpha/2,2*_n-2*C$6+2,2*C$6)</f>
        <v>#NUM!</v>
      </c>
      <c r="D8" s="47">
        <f t="shared" si="1"/>
        <v>3.687915750560933</v>
      </c>
      <c r="E8" s="47">
        <f t="shared" si="1"/>
        <v>2.3373871727017104</v>
      </c>
      <c r="F8" s="47">
        <f t="shared" si="1"/>
        <v>1.9595844946707075</v>
      </c>
      <c r="G8" s="47">
        <f t="shared" si="1"/>
        <v>1.776740532477561</v>
      </c>
      <c r="H8" s="47">
        <f t="shared" si="1"/>
        <v>1.667146420913923</v>
      </c>
      <c r="I8" s="47">
        <f t="shared" si="1"/>
        <v>1.5934666919292795</v>
      </c>
      <c r="J8" s="47">
        <f t="shared" si="1"/>
        <v>1.540264804589242</v>
      </c>
      <c r="K8" s="47">
        <f t="shared" si="1"/>
        <v>1.499948609762214</v>
      </c>
      <c r="L8" s="47">
        <f t="shared" si="1"/>
        <v>1.4683259053072106</v>
      </c>
      <c r="M8" s="47">
        <f t="shared" si="1"/>
        <v>1.4428849226533202</v>
      </c>
      <c r="N8" s="47">
        <f t="shared" si="1"/>
        <v>1.4220127297903673</v>
      </c>
      <c r="O8" s="47">
        <f t="shared" si="1"/>
        <v>1.4046417362578723</v>
      </c>
      <c r="P8" s="47">
        <f t="shared" si="1"/>
        <v>1.3900187667559294</v>
      </c>
      <c r="Q8" s="47">
        <f t="shared" si="1"/>
        <v>1.3776073615190398</v>
      </c>
      <c r="R8" s="47">
        <f t="shared" si="1"/>
        <v>1.3670149456856961</v>
      </c>
      <c r="S8" s="47">
        <f t="shared" si="1"/>
        <v>1.3579413149500397</v>
      </c>
      <c r="T8" s="47">
        <f t="shared" si="1"/>
        <v>1.3501608719934666</v>
      </c>
      <c r="U8" s="47">
        <f t="shared" si="1"/>
        <v>1.3434977574888762</v>
      </c>
      <c r="V8" s="47">
        <f t="shared" si="1"/>
        <v>1.3378151919596348</v>
      </c>
      <c r="W8" s="47">
        <f t="shared" si="1"/>
        <v>1.333004817638539</v>
      </c>
      <c r="X8" s="47">
        <f t="shared" si="1"/>
        <v>1.3289831457541368</v>
      </c>
      <c r="Y8" s="47">
        <f t="shared" si="1"/>
        <v>1.3256826747465311</v>
      </c>
      <c r="Z8" s="47">
        <f t="shared" si="1"/>
        <v>1.3230518902673793</v>
      </c>
      <c r="AA8" s="47">
        <f t="shared" si="1"/>
        <v>1.3210552651798935</v>
      </c>
      <c r="AB8" s="47">
        <f t="shared" si="1"/>
        <v>1.3196626014178037</v>
      </c>
      <c r="AC8" s="47">
        <f t="shared" si="1"/>
        <v>1.3188596881263948</v>
      </c>
      <c r="AD8" s="47">
        <f t="shared" si="1"/>
        <v>1.3186358671646303</v>
      </c>
      <c r="AE8" s="47">
        <f t="shared" si="1"/>
        <v>1.3194956238749</v>
      </c>
      <c r="AF8" s="47">
        <f t="shared" si="1"/>
        <v>1.3203358406599364</v>
      </c>
      <c r="AG8" s="47">
        <f t="shared" si="1"/>
        <v>1.32151001253078</v>
      </c>
      <c r="AH8" s="47">
        <f t="shared" si="1"/>
        <v>1.3237198004389938</v>
      </c>
      <c r="AI8" s="47">
        <f t="shared" si="1"/>
        <v>1.3266170384440557</v>
      </c>
      <c r="AJ8" s="47">
        <f t="shared" si="1"/>
        <v>1.3302603463216656</v>
      </c>
      <c r="AK8" s="47">
        <f t="shared" si="1"/>
        <v>1.3347261074159178</v>
      </c>
      <c r="AL8" s="47">
        <f t="shared" si="1"/>
        <v>1.3401155740666582</v>
      </c>
      <c r="AM8" s="47">
        <f t="shared" si="1"/>
        <v>1.3465530912526447</v>
      </c>
      <c r="AN8" s="47">
        <f t="shared" si="1"/>
        <v>1.3542074128736203</v>
      </c>
      <c r="AO8" s="47">
        <f t="shared" si="1"/>
        <v>1.363295254463992</v>
      </c>
      <c r="AP8" s="47">
        <f t="shared" si="1"/>
        <v>1.3741079385454213</v>
      </c>
      <c r="AQ8" s="47">
        <f t="shared" si="1"/>
        <v>1.3870415926930946</v>
      </c>
      <c r="AR8" s="47">
        <f t="shared" si="1"/>
        <v>1.4026415584567076</v>
      </c>
      <c r="AS8" s="47">
        <f t="shared" si="1"/>
        <v>1.4216947619161147</v>
      </c>
      <c r="AT8" s="47">
        <f t="shared" si="1"/>
        <v>1.4453718222284806</v>
      </c>
      <c r="AU8" s="47">
        <f t="shared" si="1"/>
        <v>1.4755006105815482</v>
      </c>
      <c r="AV8" s="47">
        <f t="shared" si="1"/>
        <v>1.5151293553117284</v>
      </c>
      <c r="AW8" s="47">
        <f t="shared" si="1"/>
        <v>1.5697985134011105</v>
      </c>
      <c r="AX8" s="47">
        <f t="shared" si="1"/>
        <v>1.6509105194018048</v>
      </c>
      <c r="AY8" s="47">
        <f t="shared" si="1"/>
        <v>1.787014980436652</v>
      </c>
      <c r="AZ8" s="47">
        <f t="shared" si="1"/>
        <v>2.0811299350498302</v>
      </c>
      <c r="BA8" s="48">
        <f t="shared" si="1"/>
        <v>3.723101826835773</v>
      </c>
    </row>
    <row r="9" spans="1:53" ht="15.75" outlineLevel="1">
      <c r="A9" s="49" t="s">
        <v>19</v>
      </c>
      <c r="B9" s="46" t="s">
        <v>38</v>
      </c>
      <c r="C9" s="47">
        <f>FINV(Alpha/2,2*C$6+2,2*_n-2*C$6)</f>
        <v>3.723101826835773</v>
      </c>
      <c r="D9" s="47">
        <f aca="true" t="shared" si="2" ref="D9:BA9">FINV(Alpha/2,2*D$6+2,2*_n-2*D$6)</f>
        <v>2.0811299350498302</v>
      </c>
      <c r="E9" s="47">
        <f t="shared" si="2"/>
        <v>1.787014980436652</v>
      </c>
      <c r="F9" s="47">
        <f t="shared" si="2"/>
        <v>1.6509105194018048</v>
      </c>
      <c r="G9" s="47">
        <f t="shared" si="2"/>
        <v>1.5697985134011105</v>
      </c>
      <c r="H9" s="47">
        <f t="shared" si="2"/>
        <v>1.5151293553117284</v>
      </c>
      <c r="I9" s="47">
        <f t="shared" si="2"/>
        <v>1.4755006105815482</v>
      </c>
      <c r="J9" s="47">
        <f t="shared" si="2"/>
        <v>1.4453718222284806</v>
      </c>
      <c r="K9" s="47">
        <f t="shared" si="2"/>
        <v>1.4216947619161147</v>
      </c>
      <c r="L9" s="47">
        <f t="shared" si="2"/>
        <v>1.4026415584567076</v>
      </c>
      <c r="M9" s="47">
        <f t="shared" si="2"/>
        <v>1.3870415926930946</v>
      </c>
      <c r="N9" s="47">
        <f t="shared" si="2"/>
        <v>1.3741079385454213</v>
      </c>
      <c r="O9" s="47">
        <f t="shared" si="2"/>
        <v>1.363295254463992</v>
      </c>
      <c r="P9" s="47">
        <f t="shared" si="2"/>
        <v>1.3542074128736203</v>
      </c>
      <c r="Q9" s="47">
        <f t="shared" si="2"/>
        <v>1.3465530912526447</v>
      </c>
      <c r="R9" s="47">
        <f t="shared" si="2"/>
        <v>1.3401155740666582</v>
      </c>
      <c r="S9" s="47">
        <f>FINV(Alpha/2,2*S$6+2,2*_n-2*S$6)</f>
        <v>1.3347261074159178</v>
      </c>
      <c r="T9" s="47">
        <f t="shared" si="2"/>
        <v>1.3302603463216656</v>
      </c>
      <c r="U9" s="47">
        <f t="shared" si="2"/>
        <v>1.3266170384440557</v>
      </c>
      <c r="V9" s="47">
        <f t="shared" si="2"/>
        <v>1.3237198004389938</v>
      </c>
      <c r="W9" s="47">
        <f t="shared" si="2"/>
        <v>1.32151001253078</v>
      </c>
      <c r="X9" s="47">
        <f t="shared" si="2"/>
        <v>1.3199468185121077</v>
      </c>
      <c r="Y9" s="47">
        <f t="shared" si="2"/>
        <v>1.3189946912461892</v>
      </c>
      <c r="Z9" s="47">
        <f t="shared" si="2"/>
        <v>1.3186358671646303</v>
      </c>
      <c r="AA9" s="47">
        <f t="shared" si="2"/>
        <v>1.3188596881263948</v>
      </c>
      <c r="AB9" s="47">
        <f t="shared" si="2"/>
        <v>1.3196626014178037</v>
      </c>
      <c r="AC9" s="47">
        <f t="shared" si="2"/>
        <v>1.3210552651798935</v>
      </c>
      <c r="AD9" s="47">
        <f t="shared" si="2"/>
        <v>1.3230518902673793</v>
      </c>
      <c r="AE9" s="47">
        <f t="shared" si="2"/>
        <v>1.3263647957728608</v>
      </c>
      <c r="AF9" s="47">
        <f t="shared" si="2"/>
        <v>1.329272691918959</v>
      </c>
      <c r="AG9" s="47">
        <f t="shared" si="2"/>
        <v>1.333004817638539</v>
      </c>
      <c r="AH9" s="47">
        <f t="shared" si="2"/>
        <v>1.3378151919596348</v>
      </c>
      <c r="AI9" s="47">
        <f t="shared" si="2"/>
        <v>1.3434977574888762</v>
      </c>
      <c r="AJ9" s="47">
        <f t="shared" si="2"/>
        <v>1.3501608719934666</v>
      </c>
      <c r="AK9" s="47">
        <f t="shared" si="2"/>
        <v>1.3579413149500397</v>
      </c>
      <c r="AL9" s="47">
        <f t="shared" si="2"/>
        <v>1.3670149456856961</v>
      </c>
      <c r="AM9" s="47">
        <f t="shared" si="2"/>
        <v>1.3776073615190398</v>
      </c>
      <c r="AN9" s="47">
        <f t="shared" si="2"/>
        <v>1.3900187667559294</v>
      </c>
      <c r="AO9" s="47">
        <f t="shared" si="2"/>
        <v>1.4046417362578723</v>
      </c>
      <c r="AP9" s="47">
        <f t="shared" si="2"/>
        <v>1.4220127297903673</v>
      </c>
      <c r="AQ9" s="47">
        <f t="shared" si="2"/>
        <v>1.4428849226533202</v>
      </c>
      <c r="AR9" s="47">
        <f t="shared" si="2"/>
        <v>1.4683259053072106</v>
      </c>
      <c r="AS9" s="47">
        <f t="shared" si="2"/>
        <v>1.499948609762214</v>
      </c>
      <c r="AT9" s="47">
        <f t="shared" si="2"/>
        <v>1.540264804589242</v>
      </c>
      <c r="AU9" s="47">
        <f t="shared" si="2"/>
        <v>1.5934666919292795</v>
      </c>
      <c r="AV9" s="47">
        <f t="shared" si="2"/>
        <v>1.667146420913923</v>
      </c>
      <c r="AW9" s="47">
        <f t="shared" si="2"/>
        <v>1.776740532477561</v>
      </c>
      <c r="AX9" s="47">
        <f t="shared" si="2"/>
        <v>1.9595844946707075</v>
      </c>
      <c r="AY9" s="47">
        <f t="shared" si="2"/>
        <v>2.3373871727017104</v>
      </c>
      <c r="AZ9" s="47">
        <f t="shared" si="2"/>
        <v>3.687915750560933</v>
      </c>
      <c r="BA9" s="48" t="e">
        <f t="shared" si="2"/>
        <v>#NUM!</v>
      </c>
    </row>
    <row r="10" spans="1:53" s="23" customFormat="1" ht="15.75">
      <c r="A10" s="54" t="s">
        <v>3</v>
      </c>
      <c r="B10" s="55" t="s">
        <v>30</v>
      </c>
      <c r="C10" s="56">
        <f aca="true" t="shared" si="3" ref="C10:AH10">IF(C$6&lt;=0,0,1/(1+(_n-C$6+1)*C$8/C$6))</f>
        <v>0</v>
      </c>
      <c r="D10" s="56">
        <f t="shared" si="3"/>
        <v>0.005475556137642821</v>
      </c>
      <c r="E10" s="56">
        <f t="shared" si="3"/>
        <v>0.017424800711519296</v>
      </c>
      <c r="F10" s="56">
        <f t="shared" si="3"/>
        <v>0.03138391537180527</v>
      </c>
      <c r="G10" s="56">
        <f t="shared" si="3"/>
        <v>0.04641757853778489</v>
      </c>
      <c r="H10" s="56">
        <f t="shared" si="3"/>
        <v>0.06215938556738507</v>
      </c>
      <c r="I10" s="56">
        <f t="shared" si="3"/>
        <v>0.07842019780627812</v>
      </c>
      <c r="J10" s="56">
        <f t="shared" si="3"/>
        <v>0.09508743947717195</v>
      </c>
      <c r="K10" s="56">
        <f t="shared" si="3"/>
        <v>0.11208747276398394</v>
      </c>
      <c r="L10" s="56">
        <f t="shared" si="3"/>
        <v>0.12936900029751777</v>
      </c>
      <c r="M10" s="56">
        <f t="shared" si="3"/>
        <v>0.14689439224347978</v>
      </c>
      <c r="N10" s="56">
        <f t="shared" si="3"/>
        <v>0.16463615497598863</v>
      </c>
      <c r="O10" s="56">
        <f t="shared" si="3"/>
        <v>0.18257185388916386</v>
      </c>
      <c r="P10" s="56">
        <f t="shared" si="3"/>
        <v>0.20068480118791357</v>
      </c>
      <c r="Q10" s="56">
        <f t="shared" si="3"/>
        <v>0.21896120568508842</v>
      </c>
      <c r="R10" s="56">
        <f t="shared" si="3"/>
        <v>0.23738956244418297</v>
      </c>
      <c r="S10" s="56">
        <f t="shared" si="3"/>
        <v>0.25596113470961757</v>
      </c>
      <c r="T10" s="56">
        <f t="shared" si="3"/>
        <v>0.27466824158809816</v>
      </c>
      <c r="U10" s="56">
        <f t="shared" si="3"/>
        <v>0.29350472728022303</v>
      </c>
      <c r="V10" s="56">
        <f t="shared" si="3"/>
        <v>0.312465439941232</v>
      </c>
      <c r="W10" s="56">
        <f t="shared" si="3"/>
        <v>0.3315463222318465</v>
      </c>
      <c r="X10" s="56">
        <f t="shared" si="3"/>
        <v>0.35074382820440564</v>
      </c>
      <c r="Y10" s="56">
        <f t="shared" si="3"/>
        <v>0.3700555393182028</v>
      </c>
      <c r="Z10" s="56">
        <f t="shared" si="3"/>
        <v>0.3894795543247864</v>
      </c>
      <c r="AA10" s="56">
        <f t="shared" si="3"/>
        <v>0.4090139816182711</v>
      </c>
      <c r="AB10" s="56">
        <f t="shared" si="3"/>
        <v>0.4286585269445525</v>
      </c>
      <c r="AC10" s="56">
        <f t="shared" si="3"/>
        <v>0.44841233839697153</v>
      </c>
      <c r="AD10" s="56">
        <f t="shared" si="3"/>
        <v>0.4682761637756351</v>
      </c>
      <c r="AE10" s="56">
        <f t="shared" si="3"/>
        <v>0.4881554516385211</v>
      </c>
      <c r="AF10" s="56">
        <f t="shared" si="3"/>
        <v>0.5082624492038091</v>
      </c>
      <c r="AG10" s="56">
        <f t="shared" si="3"/>
        <v>0.5285358463078521</v>
      </c>
      <c r="AH10" s="56">
        <f t="shared" si="3"/>
        <v>0.5488512474846089</v>
      </c>
      <c r="AI10" s="56">
        <f aca="true" t="shared" si="4" ref="AI10:BA10">IF(AI$6&lt;=0,0,1/(1+(_n-AI$6+1)*AI$8/AI$6))</f>
        <v>0.5692860131808419</v>
      </c>
      <c r="AJ10" s="56">
        <f t="shared" si="4"/>
        <v>0.5898440546214041</v>
      </c>
      <c r="AK10" s="56">
        <f t="shared" si="4"/>
        <v>0.6105302178450754</v>
      </c>
      <c r="AL10" s="56">
        <f t="shared" si="4"/>
        <v>0.631349999869644</v>
      </c>
      <c r="AM10" s="56">
        <f t="shared" si="4"/>
        <v>0.65231121095943</v>
      </c>
      <c r="AN10" s="56">
        <f t="shared" si="4"/>
        <v>0.6734221437265522</v>
      </c>
      <c r="AO10" s="56">
        <f t="shared" si="4"/>
        <v>0.6946936954237712</v>
      </c>
      <c r="AP10" s="56">
        <f t="shared" si="4"/>
        <v>0.7161388309495113</v>
      </c>
      <c r="AQ10" s="56">
        <f t="shared" si="4"/>
        <v>0.7377735749303265</v>
      </c>
      <c r="AR10" s="56">
        <f t="shared" si="4"/>
        <v>0.7596188907549782</v>
      </c>
      <c r="AS10" s="56">
        <f t="shared" si="4"/>
        <v>0.7817010225027928</v>
      </c>
      <c r="AT10" s="56">
        <f t="shared" si="4"/>
        <v>0.8040547439406528</v>
      </c>
      <c r="AU10" s="56">
        <f t="shared" si="4"/>
        <v>0.8267276725048838</v>
      </c>
      <c r="AV10" s="56">
        <f t="shared" si="4"/>
        <v>0.8497872746762307</v>
      </c>
      <c r="AW10" s="56">
        <f t="shared" si="4"/>
        <v>0.8733351910899181</v>
      </c>
      <c r="AX10" s="56">
        <f t="shared" si="4"/>
        <v>0.8975382003471539</v>
      </c>
      <c r="AY10" s="56">
        <f t="shared" si="4"/>
        <v>0.9227081289526965</v>
      </c>
      <c r="AZ10" s="56">
        <f t="shared" si="4"/>
        <v>0.9495864105870115</v>
      </c>
      <c r="BA10" s="57">
        <f t="shared" si="4"/>
        <v>0.9817246949734724</v>
      </c>
    </row>
    <row r="11" spans="1:53" s="23" customFormat="1" ht="15.75">
      <c r="A11" s="58" t="s">
        <v>4</v>
      </c>
      <c r="B11" s="59" t="s">
        <v>31</v>
      </c>
      <c r="C11" s="60">
        <f aca="true" t="shared" si="5" ref="C11:AH11">IF(C$6&gt;=_n,1,1/(1+(_n-C$6)/((C$6+1)*C$9)))</f>
        <v>0.018275305026527636</v>
      </c>
      <c r="D11" s="60">
        <f t="shared" si="5"/>
        <v>0.05041358941298849</v>
      </c>
      <c r="E11" s="60">
        <f t="shared" si="5"/>
        <v>0.07729187104730356</v>
      </c>
      <c r="F11" s="60">
        <f t="shared" si="5"/>
        <v>0.10246179965284603</v>
      </c>
      <c r="G11" s="60">
        <f t="shared" si="5"/>
        <v>0.12666480891008194</v>
      </c>
      <c r="H11" s="60">
        <f t="shared" si="5"/>
        <v>0.15021272532376928</v>
      </c>
      <c r="I11" s="60">
        <f t="shared" si="5"/>
        <v>0.17327232749511623</v>
      </c>
      <c r="J11" s="60">
        <f t="shared" si="5"/>
        <v>0.19594525605934723</v>
      </c>
      <c r="K11" s="60">
        <f t="shared" si="5"/>
        <v>0.21829897749720722</v>
      </c>
      <c r="L11" s="60">
        <f t="shared" si="5"/>
        <v>0.24038110924502182</v>
      </c>
      <c r="M11" s="60">
        <f t="shared" si="5"/>
        <v>0.26222642506967353</v>
      </c>
      <c r="N11" s="60">
        <f t="shared" si="5"/>
        <v>0.28386116905048875</v>
      </c>
      <c r="O11" s="60">
        <f t="shared" si="5"/>
        <v>0.30530630457622876</v>
      </c>
      <c r="P11" s="60">
        <f t="shared" si="5"/>
        <v>0.32657785627344793</v>
      </c>
      <c r="Q11" s="60">
        <f t="shared" si="5"/>
        <v>0.34768878904056993</v>
      </c>
      <c r="R11" s="60">
        <f t="shared" si="5"/>
        <v>0.36865000013035604</v>
      </c>
      <c r="S11" s="60">
        <f t="shared" si="5"/>
        <v>0.38946978215492456</v>
      </c>
      <c r="T11" s="60">
        <f t="shared" si="5"/>
        <v>0.4101559453785959</v>
      </c>
      <c r="U11" s="60">
        <f t="shared" si="5"/>
        <v>0.430713986819158</v>
      </c>
      <c r="V11" s="60">
        <f t="shared" si="5"/>
        <v>0.4511487525153911</v>
      </c>
      <c r="W11" s="60">
        <f t="shared" si="5"/>
        <v>0.4714641536921478</v>
      </c>
      <c r="X11" s="60">
        <f t="shared" si="5"/>
        <v>0.49166390054355796</v>
      </c>
      <c r="Y11" s="60">
        <f t="shared" si="5"/>
        <v>0.511749673317307</v>
      </c>
      <c r="Z11" s="60">
        <f t="shared" si="5"/>
        <v>0.531723836224365</v>
      </c>
      <c r="AA11" s="60">
        <f t="shared" si="5"/>
        <v>0.5515876616030284</v>
      </c>
      <c r="AB11" s="60">
        <f t="shared" si="5"/>
        <v>0.5713414730554476</v>
      </c>
      <c r="AC11" s="60">
        <f t="shared" si="5"/>
        <v>0.5909860183817288</v>
      </c>
      <c r="AD11" s="60">
        <f t="shared" si="5"/>
        <v>0.6105204456752137</v>
      </c>
      <c r="AE11" s="60">
        <f t="shared" si="5"/>
        <v>0.6300643692674778</v>
      </c>
      <c r="AF11" s="60">
        <f t="shared" si="5"/>
        <v>0.6493057788042951</v>
      </c>
      <c r="AG11" s="60">
        <f t="shared" si="5"/>
        <v>0.6684536777681535</v>
      </c>
      <c r="AH11" s="60">
        <f t="shared" si="5"/>
        <v>0.687534560058768</v>
      </c>
      <c r="AI11" s="60">
        <f aca="true" t="shared" si="6" ref="AI11:BA11">IF(AI$6&gt;=_n,1,1/(1+(_n-AI$6)/((AI$6+1)*AI$9)))</f>
        <v>0.706495272719777</v>
      </c>
      <c r="AJ11" s="60">
        <f t="shared" si="6"/>
        <v>0.7253317584119018</v>
      </c>
      <c r="AK11" s="60">
        <f t="shared" si="6"/>
        <v>0.7440388652903824</v>
      </c>
      <c r="AL11" s="60">
        <f t="shared" si="6"/>
        <v>0.7626104375558169</v>
      </c>
      <c r="AM11" s="60">
        <f t="shared" si="6"/>
        <v>0.7810387943149116</v>
      </c>
      <c r="AN11" s="60">
        <f t="shared" si="6"/>
        <v>0.7993151988120865</v>
      </c>
      <c r="AO11" s="60">
        <f t="shared" si="6"/>
        <v>0.8174281461108361</v>
      </c>
      <c r="AP11" s="60">
        <f t="shared" si="6"/>
        <v>0.8353638450240113</v>
      </c>
      <c r="AQ11" s="60">
        <f t="shared" si="6"/>
        <v>0.8531056077565202</v>
      </c>
      <c r="AR11" s="60">
        <f t="shared" si="6"/>
        <v>0.8706309997024823</v>
      </c>
      <c r="AS11" s="60">
        <f t="shared" si="6"/>
        <v>0.8879125272360161</v>
      </c>
      <c r="AT11" s="60">
        <f t="shared" si="6"/>
        <v>0.9049125605228281</v>
      </c>
      <c r="AU11" s="60">
        <f t="shared" si="6"/>
        <v>0.9215798021937219</v>
      </c>
      <c r="AV11" s="60">
        <f t="shared" si="6"/>
        <v>0.9378406144326149</v>
      </c>
      <c r="AW11" s="60">
        <f t="shared" si="6"/>
        <v>0.9535824214622151</v>
      </c>
      <c r="AX11" s="60">
        <f t="shared" si="6"/>
        <v>0.9686160846281947</v>
      </c>
      <c r="AY11" s="60">
        <f t="shared" si="6"/>
        <v>0.9825751992884806</v>
      </c>
      <c r="AZ11" s="60">
        <f t="shared" si="6"/>
        <v>0.994524443862357</v>
      </c>
      <c r="BA11" s="61">
        <f t="shared" si="6"/>
        <v>1</v>
      </c>
    </row>
    <row r="12" ht="15.75"/>
    <row r="14" ht="15.75"/>
    <row r="34" s="11" customFormat="1" ht="12"/>
  </sheetData>
  <printOptions/>
  <pageMargins left="1.35" right="0.75" top="0.98" bottom="0.31" header="0.5" footer="0.5"/>
  <pageSetup horizontalDpi="300" verticalDpi="300" orientation="landscape"/>
  <headerFooter alignWithMargins="0">
    <oddHeader>&amp;L&amp;"Times New Roman"&amp;9D&amp;&amp;M Project 00216-442&amp;R&amp;"Times New Roman"&amp;9&amp;D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showGridLines="0" workbookViewId="0" topLeftCell="A1">
      <selection activeCell="G4" sqref="G4"/>
    </sheetView>
  </sheetViews>
  <sheetFormatPr defaultColWidth="11.421875" defaultRowHeight="12.75" outlineLevelRow="1"/>
  <cols>
    <col min="1" max="1" width="28.00390625" style="8" customWidth="1"/>
    <col min="2" max="2" width="12.421875" style="8" customWidth="1"/>
    <col min="3" max="3" width="11.57421875" style="8" customWidth="1"/>
    <col min="4" max="5" width="10.57421875" style="8" customWidth="1"/>
    <col min="6" max="6" width="11.57421875" style="8" customWidth="1"/>
    <col min="7" max="15" width="10.57421875" style="8" customWidth="1"/>
    <col min="16" max="16384" width="9.140625" style="8" customWidth="1"/>
  </cols>
  <sheetData>
    <row r="1" spans="1:9" s="15" customFormat="1" ht="18" customHeight="1">
      <c r="A1" s="85" t="s">
        <v>50</v>
      </c>
      <c r="B1" s="82"/>
      <c r="C1" s="82"/>
      <c r="D1" s="83"/>
      <c r="E1" s="83"/>
      <c r="F1" s="84"/>
      <c r="G1" s="84"/>
      <c r="H1" s="84"/>
      <c r="I1" s="84"/>
    </row>
    <row r="2" spans="1:3" s="9" customFormat="1" ht="16.5" thickBot="1">
      <c r="A2" s="14" t="s">
        <v>32</v>
      </c>
      <c r="B2" s="14" t="s">
        <v>16</v>
      </c>
      <c r="C2" s="32" t="s">
        <v>26</v>
      </c>
    </row>
    <row r="3" spans="1:8" s="9" customFormat="1" ht="15.75" customHeight="1">
      <c r="A3" s="10" t="s">
        <v>41</v>
      </c>
      <c r="B3" s="8" t="s">
        <v>6</v>
      </c>
      <c r="C3" s="79">
        <v>100</v>
      </c>
      <c r="E3" s="8"/>
      <c r="F3" s="8"/>
      <c r="G3" s="8"/>
      <c r="H3" s="8"/>
    </row>
    <row r="4" spans="1:8" s="65" customFormat="1" ht="15.75" customHeight="1">
      <c r="A4" s="62" t="s">
        <v>43</v>
      </c>
      <c r="B4" s="63" t="s">
        <v>42</v>
      </c>
      <c r="C4" s="79">
        <v>5</v>
      </c>
      <c r="D4" s="64"/>
      <c r="E4" s="64"/>
      <c r="F4" s="64"/>
      <c r="G4" s="64"/>
      <c r="H4" s="64"/>
    </row>
    <row r="5" spans="1:8" s="66" customFormat="1" ht="15.75" customHeight="1">
      <c r="A5" s="66" t="s">
        <v>20</v>
      </c>
      <c r="B5" s="66" t="s">
        <v>8</v>
      </c>
      <c r="C5" s="67">
        <v>100</v>
      </c>
      <c r="D5" s="67"/>
      <c r="E5" s="67"/>
      <c r="F5" s="67"/>
      <c r="G5" s="67"/>
      <c r="H5" s="67"/>
    </row>
    <row r="6" spans="1:8" s="66" customFormat="1" ht="15.75" customHeight="1">
      <c r="A6" s="66" t="s">
        <v>25</v>
      </c>
      <c r="B6" s="66" t="s">
        <v>7</v>
      </c>
      <c r="C6" s="68">
        <v>3</v>
      </c>
      <c r="D6" s="68"/>
      <c r="E6" s="68"/>
      <c r="F6" s="68"/>
      <c r="G6" s="68"/>
      <c r="H6" s="68"/>
    </row>
    <row r="7" spans="1:15" s="69" customFormat="1" ht="30" customHeight="1">
      <c r="A7" s="69" t="s">
        <v>27</v>
      </c>
      <c r="B7" s="69" t="s">
        <v>9</v>
      </c>
      <c r="C7" s="70">
        <v>0.001</v>
      </c>
      <c r="D7" s="70">
        <v>0.003</v>
      </c>
      <c r="E7" s="70">
        <v>0.01</v>
      </c>
      <c r="F7" s="70">
        <v>0.05</v>
      </c>
      <c r="G7" s="70">
        <v>0.1</v>
      </c>
      <c r="H7" s="70">
        <v>0.3</v>
      </c>
      <c r="I7" s="70">
        <v>0.5</v>
      </c>
      <c r="J7" s="70">
        <v>0.7</v>
      </c>
      <c r="K7" s="70">
        <v>0.9</v>
      </c>
      <c r="L7" s="70">
        <v>0.95</v>
      </c>
      <c r="M7" s="70">
        <v>0.99</v>
      </c>
      <c r="N7" s="70">
        <v>0.997</v>
      </c>
      <c r="O7" s="70">
        <v>0.999</v>
      </c>
    </row>
    <row r="8" spans="1:15" s="63" customFormat="1" ht="15.75">
      <c r="A8" s="63" t="s">
        <v>44</v>
      </c>
      <c r="B8" s="63" t="s">
        <v>46</v>
      </c>
      <c r="C8" s="71">
        <f>IF(a&gt;0,1-BETAINV(1-C7/2,b-a+1,a),0)</f>
        <v>0.0064334869384765625</v>
      </c>
      <c r="D8" s="71">
        <f aca="true" t="shared" si="0" ref="D8:O8">IF(a&gt;0,1-BETAINV(1-D7/2,b-a+1,a),0)</f>
        <v>0.008245468139648438</v>
      </c>
      <c r="E8" s="71">
        <f t="shared" si="0"/>
        <v>0.010940313339233398</v>
      </c>
      <c r="F8" s="71">
        <f t="shared" si="0"/>
        <v>0.01643192768096924</v>
      </c>
      <c r="G8" s="71">
        <f t="shared" si="0"/>
        <v>0.019905567169189453</v>
      </c>
      <c r="H8" s="71">
        <f t="shared" si="0"/>
        <v>0.0280228853225708</v>
      </c>
      <c r="I8" s="71">
        <f t="shared" si="0"/>
        <v>0.0337948203086853</v>
      </c>
      <c r="J8" s="71">
        <f t="shared" si="0"/>
        <v>0.03893885016441345</v>
      </c>
      <c r="K8" s="71">
        <f t="shared" si="0"/>
        <v>0.04397296905517578</v>
      </c>
      <c r="L8" s="71">
        <f t="shared" si="0"/>
        <v>0.045253604650497437</v>
      </c>
      <c r="M8" s="71">
        <f t="shared" si="0"/>
        <v>0.046291202306747437</v>
      </c>
      <c r="N8" s="71">
        <f t="shared" si="0"/>
        <v>0.046474188566207886</v>
      </c>
      <c r="O8" s="71">
        <f t="shared" si="0"/>
        <v>0.046526551246643066</v>
      </c>
    </row>
    <row r="9" spans="1:15" s="69" customFormat="1" ht="15.75">
      <c r="A9" s="69" t="s">
        <v>45</v>
      </c>
      <c r="B9" s="69" t="s">
        <v>47</v>
      </c>
      <c r="C9" s="72">
        <f>IF(b&gt;a,1-BETAINV(C7/2,b-a,a+1),1)</f>
        <v>0.1636199951171875</v>
      </c>
      <c r="D9" s="72">
        <f aca="true" t="shared" si="1" ref="D9:O9">IF(b&gt;a,1-BETAINV(D7/2,b-a,a+1),1)</f>
        <v>0.15042495727539062</v>
      </c>
      <c r="E9" s="72">
        <f t="shared" si="1"/>
        <v>0.1351451873779297</v>
      </c>
      <c r="F9" s="72">
        <f t="shared" si="1"/>
        <v>0.11283493041992188</v>
      </c>
      <c r="G9" s="72">
        <f t="shared" si="1"/>
        <v>0.10225343704223633</v>
      </c>
      <c r="H9" s="72">
        <f t="shared" si="1"/>
        <v>0.08346426486968994</v>
      </c>
      <c r="I9" s="72">
        <f t="shared" si="1"/>
        <v>0.07332682609558105</v>
      </c>
      <c r="J9" s="72">
        <f t="shared" si="1"/>
        <v>0.06578773260116577</v>
      </c>
      <c r="K9" s="72">
        <f t="shared" si="1"/>
        <v>0.0594407320022583</v>
      </c>
      <c r="L9" s="72">
        <f t="shared" si="1"/>
        <v>0.057961881160736084</v>
      </c>
      <c r="M9" s="72">
        <f t="shared" si="1"/>
        <v>0.05679994821548462</v>
      </c>
      <c r="N9" s="72">
        <f t="shared" si="1"/>
        <v>0.05659830570220947</v>
      </c>
      <c r="O9" s="72">
        <f t="shared" si="1"/>
        <v>0.05654078722000122</v>
      </c>
    </row>
    <row r="10" spans="1:15" s="73" customFormat="1" ht="15.75" hidden="1" outlineLevel="1">
      <c r="A10" s="73" t="s">
        <v>28</v>
      </c>
      <c r="B10" s="73" t="s">
        <v>10</v>
      </c>
      <c r="C10" s="73">
        <f>IF(k=0,"",FINV(1-Alpha/2,2*k,2*(n-k+1)))</f>
        <v>0.04943956355418777</v>
      </c>
      <c r="D10" s="73">
        <f aca="true" t="shared" si="2" ref="D10:O10">IF(k=0,"",FINV(1-D7/2,2*k,2*(n-k+1)))</f>
        <v>0.07257483503053663</v>
      </c>
      <c r="E10" s="73">
        <f t="shared" si="2"/>
        <v>0.11167600177941495</v>
      </c>
      <c r="F10" s="73">
        <f t="shared" si="2"/>
        <v>0.20478907458709728</v>
      </c>
      <c r="G10" s="73">
        <f t="shared" si="2"/>
        <v>0.2709388269295232</v>
      </c>
      <c r="H10" s="73">
        <f t="shared" si="2"/>
        <v>0.44204906402001143</v>
      </c>
      <c r="I10" s="73">
        <f t="shared" si="2"/>
        <v>0.5749800635612701</v>
      </c>
      <c r="J10" s="73">
        <f t="shared" si="2"/>
        <v>0.6999076873626109</v>
      </c>
      <c r="K10" s="73">
        <f t="shared" si="2"/>
        <v>0.8273239870959515</v>
      </c>
      <c r="L10" s="73">
        <f t="shared" si="2"/>
        <v>0.8604876811091344</v>
      </c>
      <c r="M10" s="73">
        <f t="shared" si="2"/>
        <v>0.8875700174826306</v>
      </c>
      <c r="N10" s="73">
        <f t="shared" si="2"/>
        <v>0.8923652927705916</v>
      </c>
      <c r="O10" s="73">
        <f t="shared" si="2"/>
        <v>0.893738416607448</v>
      </c>
    </row>
    <row r="11" spans="1:15" s="73" customFormat="1" ht="15.75" hidden="1" outlineLevel="1">
      <c r="A11" s="73" t="s">
        <v>29</v>
      </c>
      <c r="B11" s="73" t="s">
        <v>11</v>
      </c>
      <c r="C11" s="73">
        <f>FINV(Alpha/2,2*(k+1),2*(n-k))</f>
        <v>3.6857272789347917</v>
      </c>
      <c r="D11" s="73">
        <f aca="true" t="shared" si="3" ref="D11:O11">FINV(D7/2,2*(k+1),2*(n-k))</f>
        <v>3.294758244010154</v>
      </c>
      <c r="E11" s="73">
        <f t="shared" si="3"/>
        <v>2.859565029211808</v>
      </c>
      <c r="F11" s="73">
        <f t="shared" si="3"/>
        <v>2.2578348080060096</v>
      </c>
      <c r="G11" s="73">
        <f t="shared" si="3"/>
        <v>1.9863790612362209</v>
      </c>
      <c r="H11" s="73">
        <f t="shared" si="3"/>
        <v>1.5268408759538943</v>
      </c>
      <c r="I11" s="73">
        <f t="shared" si="3"/>
        <v>1.2912746427673483</v>
      </c>
      <c r="J11" s="73">
        <f t="shared" si="3"/>
        <v>1.122027804001391</v>
      </c>
      <c r="K11" s="73">
        <f t="shared" si="3"/>
        <v>0.9836926828654668</v>
      </c>
      <c r="L11" s="73">
        <f t="shared" si="3"/>
        <v>0.9520295662923672</v>
      </c>
      <c r="M11" s="73">
        <f t="shared" si="3"/>
        <v>0.927308008158434</v>
      </c>
      <c r="N11" s="73">
        <f t="shared" si="3"/>
        <v>0.9230314290675778</v>
      </c>
      <c r="O11" s="73">
        <f t="shared" si="3"/>
        <v>0.9218119600973296</v>
      </c>
    </row>
    <row r="12" spans="1:15" s="63" customFormat="1" ht="15.75" hidden="1" outlineLevel="1" collapsed="1">
      <c r="A12" s="63" t="s">
        <v>30</v>
      </c>
      <c r="B12" s="63" t="s">
        <v>12</v>
      </c>
      <c r="C12" s="74">
        <f>IF(k=0,0,k*FAlpha/(n-k+1+k*FAlpha))</f>
        <v>0.001511168939429563</v>
      </c>
      <c r="D12" s="75">
        <f aca="true" t="shared" si="4" ref="D12:O12">IF(k=0,0,k*D10/(n-k+1+k*D10))</f>
        <v>0.00221675370905506</v>
      </c>
      <c r="E12" s="75">
        <f t="shared" si="4"/>
        <v>0.0034070057448914075</v>
      </c>
      <c r="F12" s="76">
        <f t="shared" si="4"/>
        <v>0.006229997119661678</v>
      </c>
      <c r="G12" s="75">
        <f t="shared" si="4"/>
        <v>0.008225820391898245</v>
      </c>
      <c r="H12" s="75">
        <f t="shared" si="4"/>
        <v>0.013351440980548215</v>
      </c>
      <c r="I12" s="75">
        <f t="shared" si="4"/>
        <v>0.017296978944139313</v>
      </c>
      <c r="J12" s="75">
        <f t="shared" si="4"/>
        <v>0.020976312399840095</v>
      </c>
      <c r="K12" s="75">
        <f t="shared" si="4"/>
        <v>0.02470066931254166</v>
      </c>
      <c r="L12" s="75">
        <f t="shared" si="4"/>
        <v>0.02566539564268804</v>
      </c>
      <c r="M12" s="75">
        <f t="shared" si="4"/>
        <v>0.026451801775061994</v>
      </c>
      <c r="N12" s="75">
        <f t="shared" si="4"/>
        <v>0.026590912808486012</v>
      </c>
      <c r="O12" s="75">
        <f t="shared" si="4"/>
        <v>0.026630739837311162</v>
      </c>
    </row>
    <row r="13" spans="1:15" s="63" customFormat="1" ht="15.75" hidden="1" outlineLevel="1">
      <c r="A13" s="63" t="s">
        <v>31</v>
      </c>
      <c r="B13" s="63" t="s">
        <v>13</v>
      </c>
      <c r="C13" s="74">
        <f>IF(n&gt;k,(k+1)*F1Alpha/(n-k+(k+1)*F1Alpha),1)</f>
        <v>0.1319359700978342</v>
      </c>
      <c r="D13" s="75">
        <f aca="true" t="shared" si="5" ref="D13:O13">IF(n&gt;k,(k+1)*D11/(n-k+(k+1)*D11),1)</f>
        <v>0.1196147090790542</v>
      </c>
      <c r="E13" s="75">
        <f t="shared" si="5"/>
        <v>0.10548177464782245</v>
      </c>
      <c r="F13" s="76">
        <f t="shared" si="5"/>
        <v>0.08517613091975693</v>
      </c>
      <c r="G13" s="75">
        <f t="shared" si="5"/>
        <v>0.07571086911802781</v>
      </c>
      <c r="H13" s="75">
        <f t="shared" si="5"/>
        <v>0.0592330488946075</v>
      </c>
      <c r="I13" s="75">
        <f t="shared" si="5"/>
        <v>0.05055639003251566</v>
      </c>
      <c r="J13" s="75">
        <f t="shared" si="5"/>
        <v>0.044223024374285026</v>
      </c>
      <c r="K13" s="75">
        <f t="shared" si="5"/>
        <v>0.038983302809795554</v>
      </c>
      <c r="L13" s="75">
        <f t="shared" si="5"/>
        <v>0.03777590863418809</v>
      </c>
      <c r="M13" s="75">
        <f t="shared" si="5"/>
        <v>0.036831102350495526</v>
      </c>
      <c r="N13" s="75">
        <f t="shared" si="5"/>
        <v>0.03666747215838865</v>
      </c>
      <c r="O13" s="75">
        <f t="shared" si="5"/>
        <v>0.036620802728011694</v>
      </c>
    </row>
    <row r="14" spans="1:15" s="77" customFormat="1" ht="15.75" hidden="1" outlineLevel="1">
      <c r="A14" s="77" t="s">
        <v>14</v>
      </c>
      <c r="C14" s="77">
        <f>IF(k&gt;0,BINOMDIST(k-1,n,LCLF,TRUE),1)</f>
        <v>0.9994999059673269</v>
      </c>
      <c r="D14" s="77">
        <f aca="true" t="shared" si="6" ref="D14:O14">IF(k&gt;0,BINOMDIST(k-1,n,D12,TRUE),1)</f>
        <v>0.99849981734715</v>
      </c>
      <c r="E14" s="77">
        <f t="shared" si="6"/>
        <v>0.9950002602662397</v>
      </c>
      <c r="F14" s="77">
        <f t="shared" si="6"/>
        <v>0.9749997373000705</v>
      </c>
      <c r="G14" s="77">
        <f t="shared" si="6"/>
        <v>0.9500001283915187</v>
      </c>
      <c r="H14" s="77">
        <f t="shared" si="6"/>
        <v>0.8500002318360136</v>
      </c>
      <c r="I14" s="77">
        <f t="shared" si="6"/>
        <v>0.7499999787834544</v>
      </c>
      <c r="J14" s="77">
        <f t="shared" si="6"/>
        <v>0.6499997119493217</v>
      </c>
      <c r="K14" s="77">
        <f t="shared" si="6"/>
        <v>0.5500001463304208</v>
      </c>
      <c r="L14" s="77">
        <f t="shared" si="6"/>
        <v>0.5250000225498033</v>
      </c>
      <c r="M14" s="77">
        <f t="shared" si="6"/>
        <v>0.5049997323553983</v>
      </c>
      <c r="N14" s="77">
        <f t="shared" si="6"/>
        <v>0.5014999017433435</v>
      </c>
      <c r="O14" s="77">
        <f t="shared" si="6"/>
        <v>0.5005000917788435</v>
      </c>
    </row>
    <row r="15" spans="1:15" s="77" customFormat="1" ht="15.75" hidden="1" outlineLevel="1">
      <c r="A15" s="77" t="s">
        <v>15</v>
      </c>
      <c r="C15" s="77">
        <f>BINOMDIST(k,n,UCLF,TRUE)</f>
        <v>0.0005002714445545263</v>
      </c>
      <c r="D15" s="77">
        <f aca="true" t="shared" si="7" ref="D15:O15">BINOMDIST(k,n,D13,TRUE)</f>
        <v>0.0015001489867217486</v>
      </c>
      <c r="E15" s="77">
        <f t="shared" si="7"/>
        <v>0.0049997840471906465</v>
      </c>
      <c r="F15" s="77">
        <f t="shared" si="7"/>
        <v>0.024999853233690292</v>
      </c>
      <c r="G15" s="77">
        <f t="shared" si="7"/>
        <v>0.04999973226888435</v>
      </c>
      <c r="H15" s="77">
        <f t="shared" si="7"/>
        <v>0.1499997346793067</v>
      </c>
      <c r="I15" s="77">
        <f t="shared" si="7"/>
        <v>0.2499997111903181</v>
      </c>
      <c r="J15" s="77">
        <f t="shared" si="7"/>
        <v>0.34999999477432814</v>
      </c>
      <c r="K15" s="77">
        <f t="shared" si="7"/>
        <v>0.45000003767089397</v>
      </c>
      <c r="L15" s="77">
        <f t="shared" si="7"/>
        <v>0.4750000454172618</v>
      </c>
      <c r="M15" s="77">
        <f t="shared" si="7"/>
        <v>0.49499979043102965</v>
      </c>
      <c r="N15" s="77">
        <f t="shared" si="7"/>
        <v>0.4984997863204008</v>
      </c>
      <c r="O15" s="77">
        <f t="shared" si="7"/>
        <v>0.4994999133647774</v>
      </c>
    </row>
    <row r="16" spans="1:15" s="69" customFormat="1" ht="15.75" collapsed="1">
      <c r="A16" s="69" t="s">
        <v>33</v>
      </c>
      <c r="B16" s="69" t="s">
        <v>48</v>
      </c>
      <c r="C16" s="80">
        <f aca="true" t="shared" si="8" ref="C16:O16">IF(k&gt;0,1-BETAINV(1-C7/2,n-k+1+b-a,k+a),0)</f>
        <v>0.0089569091796875</v>
      </c>
      <c r="D16" s="80">
        <f t="shared" si="8"/>
        <v>0.010646820068359375</v>
      </c>
      <c r="E16" s="80">
        <f t="shared" si="8"/>
        <v>0.01300048828125</v>
      </c>
      <c r="F16" s="80">
        <f t="shared" si="8"/>
        <v>0.017424821853637695</v>
      </c>
      <c r="G16" s="80">
        <f t="shared" si="8"/>
        <v>0.02005678415298462</v>
      </c>
      <c r="H16" s="80">
        <f t="shared" si="8"/>
        <v>0.02589327096939087</v>
      </c>
      <c r="I16" s="80">
        <f t="shared" si="8"/>
        <v>0.029859542846679688</v>
      </c>
      <c r="J16" s="80">
        <f t="shared" si="8"/>
        <v>0.03330349922180176</v>
      </c>
      <c r="K16" s="80">
        <f t="shared" si="8"/>
        <v>0.03660902380943298</v>
      </c>
      <c r="L16" s="80">
        <f t="shared" si="8"/>
        <v>0.03744120895862579</v>
      </c>
      <c r="M16" s="80">
        <f t="shared" si="8"/>
        <v>0.03811311721801758</v>
      </c>
      <c r="N16" s="80">
        <f t="shared" si="8"/>
        <v>0.03823140263557434</v>
      </c>
      <c r="O16" s="80">
        <f t="shared" si="8"/>
        <v>0.038265228271484375</v>
      </c>
    </row>
    <row r="17" spans="1:15" s="69" customFormat="1" ht="15.75">
      <c r="A17" s="69" t="s">
        <v>34</v>
      </c>
      <c r="B17" s="69" t="s">
        <v>49</v>
      </c>
      <c r="C17" s="81">
        <f aca="true" t="shared" si="9" ref="C17:O17">IF(n&gt;k,1-BETAINV(C7/2,n-k+b-a,k+1+a),1)</f>
        <v>0.1071929931640625</v>
      </c>
      <c r="D17" s="81">
        <f t="shared" si="9"/>
        <v>0.09943962097167969</v>
      </c>
      <c r="E17" s="81">
        <f t="shared" si="9"/>
        <v>0.0904550552368164</v>
      </c>
      <c r="F17" s="81">
        <f t="shared" si="9"/>
        <v>0.07729196548461914</v>
      </c>
      <c r="G17" s="81">
        <f t="shared" si="9"/>
        <v>0.0710141658782959</v>
      </c>
      <c r="H17" s="81">
        <f t="shared" si="9"/>
        <v>0.05977201461791992</v>
      </c>
      <c r="I17" s="81">
        <f t="shared" si="9"/>
        <v>0.053632646799087524</v>
      </c>
      <c r="J17" s="81">
        <f t="shared" si="9"/>
        <v>0.04901978373527527</v>
      </c>
      <c r="K17" s="81">
        <f t="shared" si="9"/>
        <v>0.045096904039382935</v>
      </c>
      <c r="L17" s="81">
        <f t="shared" si="9"/>
        <v>0.04417681694030762</v>
      </c>
      <c r="M17" s="81">
        <f t="shared" si="9"/>
        <v>0.043452173471450806</v>
      </c>
      <c r="N17" s="81">
        <f t="shared" si="9"/>
        <v>0.0433262437582016</v>
      </c>
      <c r="O17" s="81">
        <f t="shared" si="9"/>
        <v>0.04329030215740204</v>
      </c>
    </row>
    <row r="18" s="63" customFormat="1" ht="10.5" customHeight="1">
      <c r="A18" s="78"/>
    </row>
    <row r="42" s="11" customFormat="1" ht="12"/>
  </sheetData>
  <printOptions/>
  <pageMargins left="0.75" right="0.75" top="1" bottom="1" header="0.5" footer="0.5"/>
  <pageSetup orientation="landscape" r:id="rId4"/>
  <headerFooter alignWithMargins="0">
    <oddHeader>&amp;C&amp;F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Quantitative Decisions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Binomial confidence interval calculations</dc:title>
  <dc:subject/>
  <dc:creator>William Huber</dc:creator>
  <cp:keywords/>
  <dc:description/>
  <cp:lastModifiedBy>administrator</cp:lastModifiedBy>
  <dcterms:created xsi:type="dcterms:W3CDTF">2001-03-06T15:34:32Z</dcterms:created>
  <dcterms:modified xsi:type="dcterms:W3CDTF">2004-11-29T20:19:11Z</dcterms:modified>
  <cp:category/>
  <cp:version/>
  <cp:contentType/>
  <cp:contentStatus/>
</cp:coreProperties>
</file>